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autoCompressPictures="0"/>
  <mc:AlternateContent xmlns:mc="http://schemas.openxmlformats.org/markup-compatibility/2006">
    <mc:Choice Requires="x15">
      <x15ac:absPath xmlns:x15ac="http://schemas.microsoft.com/office/spreadsheetml/2010/11/ac" url="/Users/marinabowie/Box/@ ECONOMY/@ ROAD MAP/Content - Draft/Sources/"/>
    </mc:Choice>
  </mc:AlternateContent>
  <xr:revisionPtr revIDLastSave="0" documentId="8_{C6957CF5-9108-704B-83C6-D1280BD1F3EF}" xr6:coauthVersionLast="36" xr6:coauthVersionMax="36" xr10:uidLastSave="{00000000-0000-0000-0000-000000000000}"/>
  <bookViews>
    <workbookView xWindow="1340" yWindow="600" windowWidth="24800" windowHeight="14180" tabRatio="500" activeTab="1" xr2:uid="{00000000-000D-0000-FFFF-FFFF00000000}"/>
  </bookViews>
  <sheets>
    <sheet name="SUMMARY" sheetId="17" r:id="rId1"/>
    <sheet name="Mfgr 1" sheetId="15" r:id="rId2"/>
    <sheet name="Mfgr 2" sheetId="14" r:id="rId3"/>
    <sheet name="Mfgr 3" sheetId="10" r:id="rId4"/>
    <sheet name="Mfgr 4" sheetId="12" r:id="rId5"/>
    <sheet name="Mfgr 5" sheetId="2" r:id="rId6"/>
    <sheet name="Mfgr 6" sheetId="13" r:id="rId7"/>
    <sheet name="Mfgr 7" sheetId="16" r:id="rId8"/>
  </sheets>
  <calcPr calcId="181029" iterateDelta="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2" i="15" l="1"/>
  <c r="D13" i="15"/>
  <c r="D14" i="15"/>
  <c r="D15" i="15"/>
  <c r="D16" i="15"/>
  <c r="D17" i="15"/>
  <c r="D18" i="15"/>
  <c r="D19" i="15"/>
  <c r="D20" i="15"/>
  <c r="E20" i="15" s="1"/>
  <c r="O7" i="17"/>
  <c r="O11" i="17"/>
  <c r="E15" i="17"/>
  <c r="F15" i="17"/>
  <c r="H15" i="17" s="1"/>
  <c r="E17" i="17"/>
  <c r="F17" i="17"/>
  <c r="H17" i="17" s="1"/>
  <c r="K17" i="17"/>
  <c r="M17" i="17" s="1"/>
  <c r="M30" i="17" s="1"/>
  <c r="K21" i="17"/>
  <c r="M21" i="17"/>
  <c r="O21" i="17" s="1"/>
  <c r="M24" i="17"/>
  <c r="O24" i="17" s="1"/>
  <c r="O27" i="17"/>
  <c r="K27" i="17"/>
  <c r="K30" i="17"/>
  <c r="J30" i="17"/>
  <c r="E7" i="17"/>
  <c r="F7" i="17"/>
  <c r="N7" i="17" s="1"/>
  <c r="E11" i="17"/>
  <c r="F11" i="17" s="1"/>
  <c r="N15" i="17"/>
  <c r="N17" i="17"/>
  <c r="N21" i="17"/>
  <c r="N24" i="17"/>
  <c r="F27" i="17"/>
  <c r="N27" i="17"/>
  <c r="G9" i="15"/>
  <c r="G10" i="15"/>
  <c r="G11" i="15"/>
  <c r="G12" i="15"/>
  <c r="G13" i="15"/>
  <c r="G14" i="15"/>
  <c r="G15" i="15"/>
  <c r="G16" i="15"/>
  <c r="G17" i="15"/>
  <c r="G18" i="15"/>
  <c r="G19" i="15"/>
  <c r="G20" i="15"/>
  <c r="J20" i="15" s="1"/>
  <c r="D17" i="16"/>
  <c r="D18" i="16"/>
  <c r="D19" i="16"/>
  <c r="E19" i="16" s="1"/>
  <c r="F19" i="16" s="1"/>
  <c r="D17" i="14"/>
  <c r="D18" i="14"/>
  <c r="D19" i="14" s="1"/>
  <c r="G17" i="14"/>
  <c r="G18" i="14"/>
  <c r="G19" i="14"/>
  <c r="I19" i="14" s="1"/>
  <c r="G17" i="16"/>
  <c r="G18" i="16"/>
  <c r="G19" i="16" s="1"/>
  <c r="H19" i="16" s="1"/>
  <c r="E21" i="17"/>
  <c r="E24" i="17"/>
  <c r="E30" i="17"/>
  <c r="D30" i="17"/>
  <c r="D14" i="13"/>
  <c r="D15" i="13"/>
  <c r="D16" i="13"/>
  <c r="D17" i="13"/>
  <c r="D18" i="13"/>
  <c r="G17" i="12"/>
  <c r="G18" i="12"/>
  <c r="G19" i="12" s="1"/>
  <c r="D12" i="12"/>
  <c r="D17" i="12" s="1"/>
  <c r="D19" i="12" s="1"/>
  <c r="D13" i="12"/>
  <c r="D14" i="12"/>
  <c r="D15" i="12"/>
  <c r="D16" i="12"/>
  <c r="D18" i="12"/>
  <c r="E18" i="10"/>
  <c r="E19" i="10"/>
  <c r="E20" i="10"/>
  <c r="D18" i="2"/>
  <c r="D19" i="2"/>
  <c r="D17" i="2"/>
  <c r="G16" i="13"/>
  <c r="I19" i="16" l="1"/>
  <c r="J19" i="16"/>
  <c r="N11" i="17"/>
  <c r="F30" i="17"/>
  <c r="F19" i="14"/>
  <c r="K19" i="14" s="1"/>
  <c r="E19" i="14"/>
  <c r="N30" i="17"/>
  <c r="O17" i="17"/>
  <c r="O30" i="17" s="1"/>
  <c r="O15" i="17"/>
  <c r="H30" i="17"/>
  <c r="F20" i="15"/>
  <c r="L20" i="15" s="1"/>
  <c r="H19" i="14"/>
  <c r="H20" i="15"/>
  <c r="I20" i="15" s="1"/>
  <c r="K20" i="15" s="1"/>
  <c r="J19" i="14" l="1"/>
</calcChain>
</file>

<file path=xl/sharedStrings.xml><?xml version="1.0" encoding="utf-8"?>
<sst xmlns="http://schemas.openxmlformats.org/spreadsheetml/2006/main" count="335" uniqueCount="211">
  <si>
    <t>https://www.plasticsinsight.com/resin-intelligence/resin-prices/polylactic-acid/</t>
  </si>
  <si>
    <t>This analysis is informed by the following:</t>
  </si>
  <si>
    <t>Market price for industrial sugars:</t>
  </si>
  <si>
    <t>https://www.bio.org/sites/default/files/lignin-economic-lignocellulosic-fractionation_ali_manesh_0.pdf</t>
  </si>
  <si>
    <t xml:space="preserve">The assumption for an 80% 20% ratio of sugars to lignin is informed by: </t>
  </si>
  <si>
    <t>National average retail price for  cellulosic ethanol:</t>
  </si>
  <si>
    <t>https://advancedbiofuelsusa.info/2g-ethanol-overcoming-tech-glitches-competitive-with-oil-at-70/</t>
  </si>
  <si>
    <t>https://www.biofuelsdigest.com/bdigest/2017/05/18/ethanol-and-biodiesel-dropping-below-the-production-cost-of-fossil-fuels/</t>
  </si>
  <si>
    <t>Cellulosic Ethanol Company</t>
  </si>
  <si>
    <t>Tax Year</t>
  </si>
  <si>
    <t>Eligible Production</t>
  </si>
  <si>
    <r>
      <t xml:space="preserve">Renewable Chemicals </t>
    </r>
    <r>
      <rPr>
        <b/>
        <sz val="12"/>
        <color theme="4" tint="-0.249977111117893"/>
        <rFont val="Calibri"/>
        <family val="2"/>
        <scheme val="minor"/>
      </rPr>
      <t>(pounds)</t>
    </r>
  </si>
  <si>
    <r>
      <t xml:space="preserve">Commercial Biofuels </t>
    </r>
    <r>
      <rPr>
        <b/>
        <sz val="12"/>
        <color theme="4" tint="-0.249977111117893"/>
        <rFont val="Calibri"/>
        <family val="2"/>
        <scheme val="minor"/>
      </rPr>
      <t>(gallons)</t>
    </r>
    <r>
      <rPr>
        <b/>
        <sz val="14"/>
        <color theme="4" tint="-0.249977111117893"/>
        <rFont val="Calibri"/>
        <family val="2"/>
        <scheme val="minor"/>
      </rPr>
      <t xml:space="preserve"> </t>
    </r>
  </si>
  <si>
    <t># of Plants</t>
  </si>
  <si>
    <t>Company:</t>
  </si>
  <si>
    <t>Sources and Assumptions:</t>
  </si>
  <si>
    <t>Company and Technology Description:</t>
  </si>
  <si>
    <t>Revenues generated is based on the market price for polylactic acid as of October, 2017 = $1,910/ton = $0.96/pound</t>
  </si>
  <si>
    <t>Advanced Biofuels Company</t>
  </si>
  <si>
    <t>Renewable chemicals (acetaldehyde, ethyl acetate, acetic acid) and biofuels (ED95, ethanol)</t>
  </si>
  <si>
    <t>Revenues generated are based on a $70 per barrel of ethanol = $1.67 per gallon</t>
  </si>
  <si>
    <t>Waite, Darrell. “Demonstration of an Integrated Biorefinery.” Presentation, Annual Plants to Products Forum, Orono, Maine, October 17, 2013.</t>
  </si>
  <si>
    <t>Commercial biofuel production and jobs projections based off:</t>
  </si>
  <si>
    <t>Personal Correspondence with Darrell Waite of Sappi, November 1, 2017</t>
  </si>
  <si>
    <t xml:space="preserve">This is not a specific company, but projections made for a cellulosic ethanol company producing biofuels in Maine based on projections by experts in the state. </t>
  </si>
  <si>
    <t>Revenues based on market price of ecetic acid, and market price for biofuels</t>
  </si>
  <si>
    <t>https://greenchemindustries.com/eastman-acetic-acid-increase-01-17/</t>
  </si>
  <si>
    <t>https://advancedbiofuelsusa.info/favorable-feedstock-costs-can-drop-cellulosic-sugar-prices/</t>
  </si>
  <si>
    <t>Capital Investment estimates based on:</t>
  </si>
  <si>
    <t xml:space="preserve">Sustainable Bioplastics Council of Maine. “The Business Case for Commercial Production of Bioplastics in Maine.” March 2010. Submitted to Maine Technology Institute by Environmental Health Strategy Center with Jim Lunt &amp; Associates, LLC; </t>
  </si>
  <si>
    <t>Tux Turkel, “Old Town mill eyed for full-scale plant to turn wood pulp into ingredient for diesel, jet fuel” last modified May 4, 2017, https://www.pressherald.com/2017/05/03/old-town-site-eyed-for-60-million-biofuel-plant/.</t>
  </si>
  <si>
    <t xml:space="preserve">John Hannon, PhD., “Ethanol Conversion to Fungible Gasoline, Diesel, and Jet Fuel Blend Stocks and High Value Chemical Coproducts” (presentation, Bioeconomy 2017 U.S Department of Energy, The Pitch for a Prosperous Future, July 11-12, 2017). </t>
  </si>
  <si>
    <t>Jobs estimates based on:</t>
  </si>
  <si>
    <t xml:space="preserve">Sustainable Bioplastics Council of Maine. The Business Case for Commercial Production of Bioplastics in Maine. March 2010. Submitted to Maine Technology Institute by Environmental Health Strategy Center with Jim Lunt &amp; Associates, LLC. </t>
  </si>
  <si>
    <t>Production estimate based on:</t>
  </si>
  <si>
    <t>Sustainable Bioplastics Council of Maine. The Business Case for Commercial Production of Bioplastics in Maine. March 2010. Submitted to Maine Technology Institute by Environmental Health Strategy Center with Jim Lunt &amp; Associates, LLC.</t>
  </si>
  <si>
    <t>Company B</t>
  </si>
  <si>
    <t>Company B is an existing company producting biodiesel and heating oil from used cooking oil collected from restaurants around New England, as well as biobased cleaning products.</t>
  </si>
  <si>
    <t>Company B plans on expanding its current production to a new facility that will manufacture 3 million gallons of fuel and another million gallons of bio-based products. They currently produce about .5 million gallons of biodiesel and biobased products but would expect to grow at a 20% rate annually if LD 1698 goes through.</t>
  </si>
  <si>
    <t>Company C is a renewable chemicals company with several patented technologies that make a variety of different chemicals and materials. They have expressed interest in locating in Maine. For our purposes, we assume Company C will make high purity sugars (80% of product) and lignin (20% of product), that they will announce a project in concept in 2025, and that their production will be eligible to receive a tax credit from LD 1698 two years following the announcement of their project in concept (2027).</t>
  </si>
  <si>
    <t>Commercial scale facility using Company C's technology has potential to produce 350,000 TPY of industrial sugars and lignin using dry wood chips. 350,000TPY = 700,000,000 pounds per year. Industrial sugars (80% of product) = 560,000,000 lbs per year. Lignin production (20% of product) = 140,000,000 lbs per year. However, a smaller scale facility (250,000,000 lbs per year) would better match Maine's market.</t>
  </si>
  <si>
    <t>D</t>
  </si>
  <si>
    <t>This information comes from a information provided by Company D to Biobased Maine</t>
  </si>
  <si>
    <t>Company E is a renewable chemicals company which produces polylactic acid at commercial scale. For our purposes, we we assume Company E will announce a project in concept in 2027, and that their production will be eligible to receive a tax credit from LD 1698 two years following the announcement of their project in concept (2029).</t>
  </si>
  <si>
    <t>Fossil Resource Use</t>
  </si>
  <si>
    <t>Greenhouse Gas Emissions</t>
  </si>
  <si>
    <r>
      <t xml:space="preserve"># of Plants </t>
    </r>
    <r>
      <rPr>
        <b/>
        <sz val="12"/>
        <color theme="4" tint="-0.249977111117893"/>
        <rFont val="Calibri"/>
        <family val="2"/>
        <scheme val="minor"/>
      </rPr>
      <t>in operation</t>
    </r>
  </si>
  <si>
    <t>10-yr Totals:</t>
  </si>
  <si>
    <t>30-yr TOTAL</t>
  </si>
  <si>
    <t>Ethyl levulinate is either blended or used a drop-in substitute for resdiential fuel oil</t>
  </si>
  <si>
    <t>gallons</t>
  </si>
  <si>
    <t>REDUCTIONS in:</t>
  </si>
  <si>
    <t xml:space="preserve">  Sufficient market for residential fuel oil persists through 2050</t>
  </si>
  <si>
    <t>Displacement of fuel oil is on a gallon-for-gallon basis</t>
  </si>
  <si>
    <t>10-yr Subtotal</t>
  </si>
  <si>
    <t>20-yr Subtotal</t>
  </si>
  <si>
    <t>30-yr Total</t>
  </si>
  <si>
    <t>Company C</t>
  </si>
  <si>
    <t xml:space="preserve">  Need to account differently for 80% sugars and 20% lignin</t>
  </si>
  <si>
    <t>10-yr Total</t>
  </si>
  <si>
    <t>20-yr Total</t>
  </si>
  <si>
    <t>Ethyl levulinate</t>
  </si>
  <si>
    <t>Biodiesel</t>
  </si>
  <si>
    <t>Diesel</t>
  </si>
  <si>
    <t>Bioheat</t>
  </si>
  <si>
    <t>Heating oil</t>
  </si>
  <si>
    <t>Bioethanol</t>
  </si>
  <si>
    <t>Gasoline</t>
  </si>
  <si>
    <t>ED95</t>
  </si>
  <si>
    <t>Mfgr</t>
  </si>
  <si>
    <t>[none]</t>
  </si>
  <si>
    <t>Projected Production</t>
  </si>
  <si>
    <t>million gallons</t>
  </si>
  <si>
    <t>TOTAL:</t>
  </si>
  <si>
    <t>Fossil Resouce Use</t>
  </si>
  <si>
    <t>REDUCTION in:</t>
  </si>
  <si>
    <t>million tons</t>
  </si>
  <si>
    <t>Densities:</t>
  </si>
  <si>
    <t>Ethanol</t>
  </si>
  <si>
    <t>(lbs/gal)</t>
  </si>
  <si>
    <t>TDO oil</t>
  </si>
  <si>
    <t>ADVANCED BIOFUELS</t>
  </si>
  <si>
    <t>Fossil Fuel Replaced</t>
  </si>
  <si>
    <t>net percent reduction</t>
  </si>
  <si>
    <t xml:space="preserve">James Anderson, University of Maine. Email. October 26, 2017. (Provided bioproducts annual production in volume: 22 MGPY of TDO oil, and 20 MGPY of furfural.)  </t>
  </si>
  <si>
    <t>Production estimates:</t>
  </si>
  <si>
    <t>http://digitalcommons.library.umaine.edu/etd/2398</t>
  </si>
  <si>
    <t xml:space="preserve">Assumes carbon neutrality etc. </t>
  </si>
  <si>
    <t>Renewable Chemicals:</t>
  </si>
  <si>
    <t>Neupane, Binod, "Integrated Life Cycle Sustainability Assessment of Forest Based Drop-In Biofuel" (2015). Electronic Theses and Dissertations. 2398.</t>
  </si>
  <si>
    <r>
      <t>Dalvand, K., Rubin, J., Gunukula, S., Clayton Wheeler, M., &amp; Hunt, G. (2018). Economics of biofuels: Market potential of furfural and its derivatives. </t>
    </r>
    <r>
      <rPr>
        <i/>
        <sz val="12"/>
        <rFont val="Calibri"/>
        <family val="2"/>
        <scheme val="minor"/>
      </rPr>
      <t>Biomass and Bioenergy</t>
    </r>
    <r>
      <rPr>
        <sz val="12"/>
        <rFont val="Calibri"/>
        <family val="2"/>
        <scheme val="minor"/>
      </rPr>
      <t>, </t>
    </r>
    <r>
      <rPr>
        <i/>
        <sz val="12"/>
        <rFont val="Calibri"/>
        <family val="2"/>
        <scheme val="minor"/>
      </rPr>
      <t>115</t>
    </r>
    <r>
      <rPr>
        <sz val="12"/>
        <rFont val="Calibri"/>
        <family val="2"/>
        <scheme val="minor"/>
      </rPr>
      <t>, 56–63.</t>
    </r>
  </si>
  <si>
    <t xml:space="preserve"> https://doi.org/10.1016/j.biombioe.2018.04.005</t>
  </si>
  <si>
    <t xml:space="preserve">TDO oil </t>
  </si>
  <si>
    <t>(Biodiesel)</t>
  </si>
  <si>
    <r>
      <t>million tons      CO</t>
    </r>
    <r>
      <rPr>
        <vertAlign val="subscript"/>
        <sz val="9"/>
        <color theme="1"/>
        <rFont val="Calibri"/>
        <family val="2"/>
        <scheme val="minor"/>
      </rPr>
      <t>2</t>
    </r>
    <r>
      <rPr>
        <sz val="9"/>
        <color theme="1"/>
        <rFont val="Calibri"/>
        <family val="2"/>
        <scheme val="minor"/>
      </rPr>
      <t>-equivalents</t>
    </r>
  </si>
  <si>
    <t>https://www.eia.gov/environment/emissions/co2_vol_mass.php</t>
  </si>
  <si>
    <r>
      <t>CO</t>
    </r>
    <r>
      <rPr>
        <b/>
        <i/>
        <vertAlign val="subscript"/>
        <sz val="12"/>
        <color theme="1"/>
        <rFont val="Calibri"/>
        <family val="2"/>
        <scheme val="minor"/>
      </rPr>
      <t>2</t>
    </r>
    <r>
      <rPr>
        <b/>
        <i/>
        <sz val="12"/>
        <color theme="1"/>
        <rFont val="Calibri"/>
        <family val="2"/>
        <scheme val="minor"/>
      </rPr>
      <t xml:space="preserve"> Emissions of Home Heating Oil and Diesel Fuel (Distillate):</t>
    </r>
  </si>
  <si>
    <t>Life Cycle Assessment</t>
  </si>
  <si>
    <t>Well-to-wheel reduction in fossil resource use for TDO oil is 81% of conventional diesel, which accounts for some use of diesel in harvesting and processing woody biomass</t>
  </si>
  <si>
    <t>Fossil Resource Use (gallons)</t>
  </si>
  <si>
    <r>
      <t>Greenhouse Gas Emissions (tons CO</t>
    </r>
    <r>
      <rPr>
        <b/>
        <vertAlign val="subscript"/>
        <sz val="12"/>
        <color rgb="FF305496"/>
        <rFont val="Calibri"/>
        <family val="2"/>
        <scheme val="minor"/>
      </rPr>
      <t>2</t>
    </r>
    <r>
      <rPr>
        <b/>
        <sz val="12"/>
        <color rgb="FF305496"/>
        <rFont val="Calibri"/>
        <family val="2"/>
        <scheme val="minor"/>
      </rPr>
      <t>-equiv.)</t>
    </r>
  </si>
  <si>
    <t>ED95 = 90% reduction in CO2 in buses: https://www.sekab.com/en/products-services/product/ed95/</t>
  </si>
  <si>
    <t>Company D is a chemical and environmental technology company which has patented a suite of technologies to produce renewable fuels and chemicals. Company D has already expressed interest in either licensing their technology to a pulp and paper facility in Maine, or building a commerical facility in the state. For our purposes, we assume Company D will announce a project in concept in 2022, and that their production will be eligible 2 years following the announcement of their project in concept (2025).</t>
  </si>
  <si>
    <t>RENEWABLE CHEMICALS</t>
  </si>
  <si>
    <r>
      <t>million tons         CO</t>
    </r>
    <r>
      <rPr>
        <vertAlign val="subscript"/>
        <sz val="9"/>
        <color theme="1"/>
        <rFont val="Calibri"/>
        <family val="2"/>
        <scheme val="minor"/>
      </rPr>
      <t>2</t>
    </r>
    <r>
      <rPr>
        <sz val="9"/>
        <color theme="1"/>
        <rFont val="Calibri"/>
        <family val="2"/>
        <scheme val="minor"/>
      </rPr>
      <t>-equivalents</t>
    </r>
  </si>
  <si>
    <t>Biofuels Produced</t>
  </si>
  <si>
    <t>Chemicals Produced</t>
  </si>
  <si>
    <t>https://www.epa.gov/energy/greenhouse-gases-equivalencies-calculator-calculations-and-references#miles</t>
  </si>
  <si>
    <t>This integrated biorefinery would use forest residues to produce an intermediate known as thermal deoxygenation (TDO) oil, used to make advanced drop-in biofuels such as biodiesel for marine and industrial engines, and renewable chemicals, namely furfural, from which several valuable derivatives can be manufactured. This technology has been developed by the University of Maine.</t>
  </si>
  <si>
    <t>Furfural Assumptions:</t>
  </si>
  <si>
    <t>Assume that 50% of furfural is used to make derivatives that displace petrochemicals, and the balance displaces biobased furfural from other sources</t>
  </si>
  <si>
    <t>Assume that 25% of furfural derivatives displace an equivalent amount of petroleum hydrocarbons (fossil resources)</t>
  </si>
  <si>
    <t>Furfural</t>
  </si>
  <si>
    <r>
      <t>CO</t>
    </r>
    <r>
      <rPr>
        <b/>
        <i/>
        <vertAlign val="subscript"/>
        <sz val="12"/>
        <color theme="1"/>
        <rFont val="Calibri"/>
        <family val="2"/>
        <scheme val="minor"/>
      </rPr>
      <t>2</t>
    </r>
    <r>
      <rPr>
        <b/>
        <i/>
        <sz val="12"/>
        <color theme="1"/>
        <rFont val="Calibri"/>
        <family val="2"/>
        <scheme val="minor"/>
      </rPr>
      <t xml:space="preserve"> Emissions of Gasoline:</t>
    </r>
  </si>
  <si>
    <r>
      <t>pounds of CO</t>
    </r>
    <r>
      <rPr>
        <vertAlign val="subscript"/>
        <sz val="12"/>
        <color theme="1"/>
        <rFont val="Calibri"/>
        <family val="2"/>
        <scheme val="minor"/>
      </rPr>
      <t>2</t>
    </r>
    <r>
      <rPr>
        <sz val="12"/>
        <color theme="1"/>
        <rFont val="Calibri"/>
        <family val="2"/>
        <scheme val="minor"/>
      </rPr>
      <t xml:space="preserve"> per gallon</t>
    </r>
  </si>
  <si>
    <t>Density of gasoline</t>
  </si>
  <si>
    <t>lbs/gal</t>
  </si>
  <si>
    <t>Greenhouse Gas Emissions (tons CO2-equiv.)</t>
  </si>
  <si>
    <t>NOTE:  The GHG emission reductions for biofuels may need to be further adjusted to account for some nitrous oxide and methane(?) emissions from displaced fossil fuel combustion.</t>
  </si>
  <si>
    <t>NOTE: To determine reductions in fossil resource use for non-fuel renewable chemicals, the conversion to equivalent petrochemicals needs to somehow account for oxygen in the renewables. A conversion factor is needed, perhaps based on an assumed ratio of carbon (and hydrogen?) between the renewable chemical and its petrochemical equivalent.</t>
  </si>
  <si>
    <t>&gt; 90%</t>
  </si>
  <si>
    <r>
      <t>tons of CO</t>
    </r>
    <r>
      <rPr>
        <b/>
        <vertAlign val="subscript"/>
        <sz val="10"/>
        <color theme="4" tint="-0.249977111117893"/>
        <rFont val="Calibri"/>
        <family val="2"/>
        <scheme val="minor"/>
      </rPr>
      <t>2</t>
    </r>
    <r>
      <rPr>
        <b/>
        <sz val="10"/>
        <color theme="4" tint="-0.249977111117893"/>
        <rFont val="Calibri"/>
        <family val="2"/>
        <scheme val="minor"/>
      </rPr>
      <t xml:space="preserve"> equivalents</t>
    </r>
  </si>
  <si>
    <t>Wheel-to-wheel GHG reductions for 100% biodiesel from waste cooking oil</t>
  </si>
  <si>
    <t>https://www.worldenergy.org/assets/downloads/PUB_Biofuels_Policies_Standards_and_Technologies_2010_Annex9_WEC.pdf</t>
  </si>
  <si>
    <r>
      <t xml:space="preserve">Renewable Chemicals </t>
    </r>
    <r>
      <rPr>
        <b/>
        <sz val="12"/>
        <color theme="4" tint="-0.249977111117893"/>
        <rFont val="Calibri"/>
        <family val="2"/>
        <scheme val="minor"/>
      </rPr>
      <t>(gallons)</t>
    </r>
  </si>
  <si>
    <t>tons</t>
  </si>
  <si>
    <t>and the balance in non-combusted</t>
  </si>
  <si>
    <t>Assume 5% is tiki torch oil, and 5% is combusted in solid waste</t>
  </si>
  <si>
    <t>average</t>
  </si>
  <si>
    <t>Biocleaners</t>
  </si>
  <si>
    <t>Biodegreasers</t>
  </si>
  <si>
    <t>Tiki torch oil</t>
  </si>
  <si>
    <t>FRU</t>
  </si>
  <si>
    <t>GHG</t>
  </si>
  <si>
    <t>TOTALs</t>
  </si>
  <si>
    <t>tons CO2 eq</t>
  </si>
  <si>
    <t>20-yr Totals:</t>
  </si>
  <si>
    <t>Levulinic acid</t>
  </si>
  <si>
    <t>Formic acid</t>
  </si>
  <si>
    <t>CH₂O₂</t>
  </si>
  <si>
    <t>LA</t>
  </si>
  <si>
    <t>FA</t>
  </si>
  <si>
    <t>Fur</t>
  </si>
  <si>
    <t>http://citeseerx.ist.psu.edu/viewdoc/download?doi=10.1.1.457.4539&amp;rep=rep1&amp;type=pdf</t>
  </si>
  <si>
    <r>
      <t>C</t>
    </r>
    <r>
      <rPr>
        <vertAlign val="subscript"/>
        <sz val="12"/>
        <rFont val="Calibri"/>
        <family val="2"/>
        <scheme val="minor"/>
      </rPr>
      <t>5</t>
    </r>
    <r>
      <rPr>
        <sz val="12"/>
        <rFont val="Calibri"/>
        <family val="2"/>
        <scheme val="minor"/>
      </rPr>
      <t>H</t>
    </r>
    <r>
      <rPr>
        <vertAlign val="subscript"/>
        <sz val="12"/>
        <rFont val="Calibri"/>
        <family val="2"/>
        <scheme val="minor"/>
      </rPr>
      <t>8</t>
    </r>
    <r>
      <rPr>
        <sz val="12"/>
        <rFont val="Calibri"/>
        <family val="2"/>
        <scheme val="minor"/>
      </rPr>
      <t>O</t>
    </r>
    <r>
      <rPr>
        <vertAlign val="subscript"/>
        <sz val="12"/>
        <rFont val="Calibri"/>
        <family val="2"/>
        <scheme val="minor"/>
      </rPr>
      <t>3</t>
    </r>
  </si>
  <si>
    <r>
      <t>C</t>
    </r>
    <r>
      <rPr>
        <vertAlign val="subscript"/>
        <sz val="12"/>
        <rFont val="Calibri"/>
        <family val="2"/>
        <scheme val="minor"/>
      </rPr>
      <t>5</t>
    </r>
    <r>
      <rPr>
        <sz val="12"/>
        <rFont val="Calibri"/>
        <family val="2"/>
        <scheme val="minor"/>
      </rPr>
      <t>H</t>
    </r>
    <r>
      <rPr>
        <vertAlign val="subscript"/>
        <sz val="12"/>
        <rFont val="Calibri"/>
        <family val="2"/>
        <scheme val="minor"/>
      </rPr>
      <t>4</t>
    </r>
    <r>
      <rPr>
        <sz val="12"/>
        <rFont val="Calibri"/>
        <family val="2"/>
        <scheme val="minor"/>
      </rPr>
      <t>O</t>
    </r>
    <r>
      <rPr>
        <vertAlign val="subscript"/>
        <sz val="12"/>
        <rFont val="Calibri"/>
        <family val="2"/>
        <scheme val="minor"/>
      </rPr>
      <t>2</t>
    </r>
  </si>
  <si>
    <t>Fossil Resource Use (tons)</t>
  </si>
  <si>
    <t>based on</t>
  </si>
  <si>
    <t>molecular</t>
  </si>
  <si>
    <t>weight</t>
  </si>
  <si>
    <t>Cellulosic sugars</t>
  </si>
  <si>
    <t>Lignin</t>
  </si>
  <si>
    <t>Acetaldehyde</t>
  </si>
  <si>
    <t>Ethyl acetate</t>
  </si>
  <si>
    <t>Acetic acid</t>
  </si>
  <si>
    <t>Polylactic acid</t>
  </si>
  <si>
    <t>(est)</t>
  </si>
  <si>
    <t>milion tons</t>
  </si>
  <si>
    <r>
      <t>million tons of CO</t>
    </r>
    <r>
      <rPr>
        <b/>
        <vertAlign val="subscript"/>
        <sz val="10"/>
        <color rgb="FF305496"/>
        <rFont val="Calibri"/>
        <family val="2"/>
        <scheme val="minor"/>
      </rPr>
      <t>2-</t>
    </r>
    <r>
      <rPr>
        <b/>
        <sz val="10"/>
        <color rgb="FF305496"/>
        <rFont val="Calibri"/>
        <family val="2"/>
        <scheme val="minor"/>
      </rPr>
      <t>equivalents</t>
    </r>
  </si>
  <si>
    <t>TOTAL REDUCTIONs in:</t>
  </si>
  <si>
    <t>CLIMATE BENEFITS of Biobased Manufacturing in Maine</t>
  </si>
  <si>
    <t>Derived from a plausible development scenario based on existing company business plans and current technologies</t>
  </si>
  <si>
    <t>Lactic acid</t>
  </si>
  <si>
    <t>Furfural and</t>
  </si>
  <si>
    <t>its derivatives</t>
  </si>
  <si>
    <t>30-year projection through 2050</t>
  </si>
  <si>
    <t>FOSSIL RESOURCE USE</t>
  </si>
  <si>
    <t>GREENHOUSE GAS EMISSIONS</t>
  </si>
  <si>
    <t>Assumes that 7 manufacturers (Mfgr) build and scale up 12 production plants over 10 years, with steady output in the 20 years after;    This is the summary page - See each worksheet tab for detailed assumptions and calculations for each manufacturer</t>
  </si>
  <si>
    <r>
      <t>Cars emit 4.63 metric tons CO</t>
    </r>
    <r>
      <rPr>
        <vertAlign val="subscript"/>
        <sz val="12"/>
        <color theme="1"/>
        <rFont val="Calibri"/>
        <family val="2"/>
        <scheme val="minor"/>
      </rPr>
      <t>2</t>
    </r>
    <r>
      <rPr>
        <sz val="12"/>
        <color theme="1"/>
        <rFont val="Calibri"/>
        <family val="2"/>
        <scheme val="minor"/>
      </rPr>
      <t>E/vehicle/year, according to this US EPA website (see "Passenger vehicle per year"):</t>
    </r>
  </si>
  <si>
    <r>
      <t>CALCULATION:  (1.1 tons/metric ton)(4.63 metric tons CO</t>
    </r>
    <r>
      <rPr>
        <vertAlign val="subscript"/>
        <sz val="12"/>
        <color theme="1"/>
        <rFont val="Calibri"/>
        <family val="2"/>
        <scheme val="minor"/>
      </rPr>
      <t>2</t>
    </r>
    <r>
      <rPr>
        <sz val="12"/>
        <color theme="1"/>
        <rFont val="Calibri"/>
        <family val="2"/>
        <scheme val="minor"/>
      </rPr>
      <t>E/vehicle/year) = 5.09 tons CO</t>
    </r>
    <r>
      <rPr>
        <vertAlign val="subscript"/>
        <sz val="12"/>
        <color theme="1"/>
        <rFont val="Calibri"/>
        <family val="2"/>
        <scheme val="minor"/>
      </rPr>
      <t>2</t>
    </r>
    <r>
      <rPr>
        <sz val="12"/>
        <color theme="1"/>
        <rFont val="Calibri"/>
        <family val="2"/>
        <scheme val="minor"/>
      </rPr>
      <t>E/vehicle/year</t>
    </r>
  </si>
  <si>
    <r>
      <t>Over thirty years:   (30 years)(5.09 tons CO</t>
    </r>
    <r>
      <rPr>
        <vertAlign val="subscript"/>
        <sz val="12"/>
        <color theme="1"/>
        <rFont val="Calibri"/>
        <family val="2"/>
        <scheme val="minor"/>
      </rPr>
      <t>2</t>
    </r>
    <r>
      <rPr>
        <sz val="12"/>
        <color theme="1"/>
        <rFont val="Calibri"/>
        <family val="2"/>
        <scheme val="minor"/>
      </rPr>
      <t>E/vehicle/year) = 152.7 tons CO</t>
    </r>
    <r>
      <rPr>
        <vertAlign val="subscript"/>
        <sz val="12"/>
        <color theme="1"/>
        <rFont val="Calibri"/>
        <family val="2"/>
        <scheme val="minor"/>
      </rPr>
      <t>2</t>
    </r>
    <r>
      <rPr>
        <sz val="12"/>
        <color theme="1"/>
        <rFont val="Calibri"/>
        <family val="2"/>
        <scheme val="minor"/>
      </rPr>
      <t>E/vehicle;</t>
    </r>
  </si>
  <si>
    <r>
      <t>(44.4 million tons CO</t>
    </r>
    <r>
      <rPr>
        <vertAlign val="subscript"/>
        <sz val="12"/>
        <color theme="1"/>
        <rFont val="Calibri"/>
        <family val="2"/>
        <scheme val="minor"/>
      </rPr>
      <t>2</t>
    </r>
    <r>
      <rPr>
        <sz val="12"/>
        <color theme="1"/>
        <rFont val="Calibri"/>
        <family val="2"/>
        <scheme val="minor"/>
      </rPr>
      <t>E) / (152.7 tons CO</t>
    </r>
    <r>
      <rPr>
        <vertAlign val="subscript"/>
        <sz val="12"/>
        <color theme="1"/>
        <rFont val="Calibri"/>
        <family val="2"/>
        <scheme val="minor"/>
      </rPr>
      <t>2</t>
    </r>
    <r>
      <rPr>
        <sz val="12"/>
        <color theme="1"/>
        <rFont val="Calibri"/>
        <family val="2"/>
        <scheme val="minor"/>
      </rPr>
      <t>E/vehicle) = 290,776 vehicles</t>
    </r>
  </si>
  <si>
    <t>(Assuming that vehicles are replaced with equivalent vehicles)</t>
  </si>
  <si>
    <t>Equivalence of Total GREENHOUSE GAS REDUCTIONS:</t>
  </si>
  <si>
    <t>Therefore, the climate benefits of biobased manufacturing in Maine over the next 30 years are equivalent to taking nearly 300,000 cars off the road, permanently</t>
  </si>
  <si>
    <t>Liquid fuel</t>
  </si>
  <si>
    <t>To convert volume to mass:</t>
  </si>
  <si>
    <t>Density (lbs/gal)</t>
  </si>
  <si>
    <t xml:space="preserve">     Density (lbs/gal)</t>
  </si>
  <si>
    <t>Manufacturer #1</t>
  </si>
  <si>
    <t>Renewable Chemicals &amp; Advanced Biofuels</t>
  </si>
  <si>
    <t>Manufacturer #1 is a renewable chemicals and renewable fuels company. Their busines plan is based on production from woody biomass, the current market demand for heating fuels in Maine, and world markets for levulinic acid, formic acid, and furfural. The first plant will process 100 tons per day of feedstock and produce ethyl levulinate (EL) for the heating fuel market and a small side stream for the levulinic acid market. There will also be an output of excess electric power to the grid. Subsequent plants will process 1,000 TPD of feedstock and produce EL, formic acid, furfural and excess electric power.</t>
  </si>
  <si>
    <t>CLIMATE BENEFITS Projected</t>
  </si>
  <si>
    <t>ASSUMPTIONS - Renewable Chemicals:</t>
  </si>
  <si>
    <t>Renewable Chemicals</t>
  </si>
  <si>
    <t>pounds</t>
  </si>
  <si>
    <t>Chemical</t>
  </si>
  <si>
    <t>Formula</t>
  </si>
  <si>
    <t>of Levulinic Acid, Furfural and Formic Acid from Lignocellulosic Feedstocks</t>
  </si>
  <si>
    <t>Hayes DJ, Ross J, Hayes MHB, Fitzpatrick F (2006) The Biofine Process: Production</t>
  </si>
  <si>
    <r>
      <rPr>
        <i/>
        <sz val="12"/>
        <color rgb="FF333333"/>
        <rFont val="Calibri"/>
        <family val="2"/>
        <scheme val="minor"/>
      </rPr>
      <t>in:</t>
    </r>
    <r>
      <rPr>
        <sz val="12"/>
        <color rgb="FF333333"/>
        <rFont val="Calibri"/>
        <family val="2"/>
        <scheme val="minor"/>
      </rPr>
      <t xml:space="preserve"> B. Kamm, P. R. Gruber and M. Kamm (Eds.), Biorefinery.</t>
    </r>
  </si>
  <si>
    <t>90% reduction in greenjouse gas emissions compared to displaced fossil fuel - Earth Shift (2009)</t>
  </si>
  <si>
    <t>A Wheel-to-Well Analysis, Earth Shift, Draft, May 2009</t>
  </si>
  <si>
    <t>Dhaliwal H, Laurin L (2009) Comparison of Ethyl Levulinate with Gasoline and Diesel:</t>
  </si>
  <si>
    <t>Fuel</t>
  </si>
  <si>
    <t xml:space="preserve">Calculations: </t>
  </si>
  <si>
    <t>U.S. Energy Information Administrations, Carbon Dioxide Emissions Coefficients, Feb. 2, 2016:</t>
  </si>
  <si>
    <r>
      <t>(22.4 pounds CO</t>
    </r>
    <r>
      <rPr>
        <vertAlign val="subscript"/>
        <sz val="10"/>
        <rFont val="Calibri"/>
        <family val="2"/>
        <scheme val="minor"/>
      </rPr>
      <t>2</t>
    </r>
    <r>
      <rPr>
        <sz val="10"/>
        <rFont val="Calibri"/>
        <family val="2"/>
        <scheme val="minor"/>
      </rPr>
      <t xml:space="preserve"> emittted per gallon of residential heating oil) x (3.47 billion gallons produced) x (90% reduction in emissions)</t>
    </r>
  </si>
  <si>
    <r>
      <t>divided by (2,000 pounds per ton) = 34,971,352 tons of CO</t>
    </r>
    <r>
      <rPr>
        <vertAlign val="subscript"/>
        <sz val="10"/>
        <rFont val="Calibri"/>
        <family val="2"/>
        <scheme val="minor"/>
      </rPr>
      <t>2</t>
    </r>
    <r>
      <rPr>
        <sz val="10"/>
        <rFont val="Calibri"/>
        <family val="2"/>
        <scheme val="minor"/>
      </rPr>
      <t>-equivalents = 34.97 million tons of CO</t>
    </r>
    <r>
      <rPr>
        <vertAlign val="subscript"/>
        <sz val="10"/>
        <rFont val="Calibri"/>
        <family val="2"/>
        <scheme val="minor"/>
      </rPr>
      <t>2</t>
    </r>
    <r>
      <rPr>
        <sz val="10"/>
        <rFont val="Calibri"/>
        <family val="2"/>
        <scheme val="minor"/>
      </rPr>
      <t>E</t>
    </r>
  </si>
  <si>
    <t>Sources:</t>
  </si>
  <si>
    <t>For conversion:</t>
  </si>
  <si>
    <t>Acronym</t>
  </si>
  <si>
    <t>Petrochemical equivalent ratio:</t>
  </si>
  <si>
    <t xml:space="preserve"> Assumes that only 10% of petrochemical equivalent would have been combusted</t>
  </si>
  <si>
    <t>The process yield ratio of LA:FA:Fur is 50:20:30 based on Hayes (2006)</t>
  </si>
  <si>
    <t xml:space="preserve"> Assumes that alkane-equivalent has same density as gasoline</t>
  </si>
  <si>
    <t>See assumptions above and embedded formulas in 30-year total cells</t>
  </si>
  <si>
    <t>CLEAN THIS UP</t>
  </si>
  <si>
    <t>ASSUMPTIONS - Advanced Biofuels:</t>
  </si>
  <si>
    <t xml:space="preserve">  Assumes that each chemical replaces an alkane (with no oxygen) of same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</si>
</sst>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00"/>
    <numFmt numFmtId="166" formatCode="#,##0.0"/>
    <numFmt numFmtId="167" formatCode="0.0"/>
    <numFmt numFmtId="168" formatCode="0.0%"/>
  </numFmts>
  <fonts count="52">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b/>
      <sz val="12"/>
      <color theme="4" tint="-0.249977111117893"/>
      <name val="Calibri"/>
      <family val="2"/>
      <scheme val="minor"/>
    </font>
    <font>
      <b/>
      <sz val="16"/>
      <color theme="4" tint="-0.249977111117893"/>
      <name val="Calibri"/>
      <family val="2"/>
      <scheme val="minor"/>
    </font>
    <font>
      <sz val="12"/>
      <color theme="4" tint="-0.249977111117893"/>
      <name val="Calibri"/>
      <family val="2"/>
      <scheme val="minor"/>
    </font>
    <font>
      <sz val="12"/>
      <color rgb="FF305496"/>
      <name val="Calibri"/>
      <family val="2"/>
      <scheme val="minor"/>
    </font>
    <font>
      <sz val="14"/>
      <color rgb="FF000000"/>
      <name val="Calibri"/>
      <family val="2"/>
      <scheme val="minor"/>
    </font>
    <font>
      <b/>
      <i/>
      <sz val="12"/>
      <color theme="1"/>
      <name val="Calibri"/>
      <family val="2"/>
      <scheme val="minor"/>
    </font>
    <font>
      <b/>
      <sz val="14"/>
      <color theme="4" tint="-0.249977111117893"/>
      <name val="Calibri"/>
      <family val="2"/>
      <scheme val="minor"/>
    </font>
    <font>
      <b/>
      <i/>
      <sz val="14"/>
      <color theme="1"/>
      <name val="Calibri"/>
      <family val="2"/>
      <scheme val="minor"/>
    </font>
    <font>
      <b/>
      <sz val="20"/>
      <color theme="1"/>
      <name val="Calibri"/>
      <family val="2"/>
      <scheme val="minor"/>
    </font>
    <font>
      <b/>
      <sz val="10"/>
      <color theme="4" tint="-0.249977111117893"/>
      <name val="Calibri"/>
      <family val="2"/>
      <scheme val="minor"/>
    </font>
    <font>
      <b/>
      <sz val="8"/>
      <color theme="4" tint="-0.249977111117893"/>
      <name val="Calibri"/>
      <family val="2"/>
      <scheme val="minor"/>
    </font>
    <font>
      <b/>
      <sz val="12"/>
      <name val="Calibri"/>
      <family val="2"/>
      <scheme val="minor"/>
    </font>
    <font>
      <sz val="10"/>
      <name val="Calibri"/>
      <family val="2"/>
      <scheme val="minor"/>
    </font>
    <font>
      <b/>
      <sz val="16"/>
      <color rgb="FF305496"/>
      <name val="Calibri"/>
      <family val="2"/>
      <scheme val="minor"/>
    </font>
    <font>
      <b/>
      <sz val="12"/>
      <color rgb="FF305496"/>
      <name val="Calibri"/>
      <family val="2"/>
      <scheme val="minor"/>
    </font>
    <font>
      <sz val="10"/>
      <color theme="4" tint="-0.249977111117893"/>
      <name val="Calibri"/>
      <family val="2"/>
      <scheme val="minor"/>
    </font>
    <font>
      <b/>
      <sz val="9"/>
      <color theme="4" tint="-0.249977111117893"/>
      <name val="Calibri"/>
      <family val="2"/>
      <scheme val="minor"/>
    </font>
    <font>
      <sz val="11"/>
      <color rgb="FF000000"/>
      <name val="Calibri (Body)"/>
    </font>
    <font>
      <sz val="9"/>
      <color theme="1"/>
      <name val="Calibri"/>
      <family val="2"/>
      <scheme val="minor"/>
    </font>
    <font>
      <i/>
      <sz val="12"/>
      <color theme="1"/>
      <name val="Calibri"/>
      <family val="2"/>
      <scheme val="minor"/>
    </font>
    <font>
      <sz val="12"/>
      <color rgb="FF333333"/>
      <name val="Calibri"/>
      <family val="2"/>
      <scheme val="minor"/>
    </font>
    <font>
      <vertAlign val="subscript"/>
      <sz val="9"/>
      <color theme="1"/>
      <name val="Calibri"/>
      <family val="2"/>
      <scheme val="minor"/>
    </font>
    <font>
      <sz val="12"/>
      <name val="Calibri"/>
      <family val="2"/>
      <scheme val="minor"/>
    </font>
    <font>
      <i/>
      <sz val="12"/>
      <name val="Calibri"/>
      <family val="2"/>
      <scheme val="minor"/>
    </font>
    <font>
      <vertAlign val="subscript"/>
      <sz val="12"/>
      <color theme="1"/>
      <name val="Calibri"/>
      <family val="2"/>
      <scheme val="minor"/>
    </font>
    <font>
      <b/>
      <i/>
      <vertAlign val="subscript"/>
      <sz val="12"/>
      <color theme="1"/>
      <name val="Calibri"/>
      <family val="2"/>
      <scheme val="minor"/>
    </font>
    <font>
      <b/>
      <vertAlign val="subscript"/>
      <sz val="12"/>
      <color rgb="FF305496"/>
      <name val="Calibri"/>
      <family val="2"/>
      <scheme val="minor"/>
    </font>
    <font>
      <sz val="12"/>
      <color theme="1"/>
      <name val="Cambria"/>
      <family val="1"/>
    </font>
    <font>
      <b/>
      <vertAlign val="subscript"/>
      <sz val="10"/>
      <color theme="4" tint="-0.249977111117893"/>
      <name val="Calibri"/>
      <family val="2"/>
      <scheme val="minor"/>
    </font>
    <font>
      <sz val="12"/>
      <color rgb="FF222222"/>
      <name val="Calibri"/>
      <family val="2"/>
      <scheme val="minor"/>
    </font>
    <font>
      <vertAlign val="subscript"/>
      <sz val="12"/>
      <name val="Calibri"/>
      <family val="2"/>
      <scheme val="minor"/>
    </font>
    <font>
      <sz val="11"/>
      <name val="Calibri"/>
      <family val="2"/>
      <scheme val="minor"/>
    </font>
    <font>
      <b/>
      <sz val="12"/>
      <color rgb="FF000000"/>
      <name val="Calibri"/>
      <family val="2"/>
      <scheme val="minor"/>
    </font>
    <font>
      <b/>
      <sz val="10"/>
      <color rgb="FF305496"/>
      <name val="Calibri"/>
      <family val="2"/>
      <scheme val="minor"/>
    </font>
    <font>
      <b/>
      <vertAlign val="subscript"/>
      <sz val="10"/>
      <color rgb="FF305496"/>
      <name val="Calibri"/>
      <family val="2"/>
      <scheme val="minor"/>
    </font>
    <font>
      <sz val="12"/>
      <color rgb="FF000000"/>
      <name val="Calibri (Body)"/>
    </font>
    <font>
      <b/>
      <sz val="10"/>
      <name val="Calibri"/>
      <family val="2"/>
      <scheme val="minor"/>
    </font>
    <font>
      <b/>
      <i/>
      <sz val="12"/>
      <name val="Calibri"/>
      <family val="2"/>
      <scheme val="minor"/>
    </font>
    <font>
      <i/>
      <sz val="12"/>
      <color rgb="FF333333"/>
      <name val="Calibri"/>
      <family val="2"/>
      <scheme val="minor"/>
    </font>
    <font>
      <sz val="11"/>
      <color theme="1"/>
      <name val="Calibri"/>
      <family val="2"/>
      <scheme val="minor"/>
    </font>
    <font>
      <u/>
      <sz val="11"/>
      <name val="Calibri"/>
      <family val="2"/>
      <scheme val="minor"/>
    </font>
    <font>
      <vertAlign val="subscript"/>
      <sz val="10"/>
      <name val="Calibri"/>
      <family val="2"/>
      <scheme val="minor"/>
    </font>
    <font>
      <sz val="9"/>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rgb="FFD9E1F2"/>
        <bgColor rgb="FFD9E1F2"/>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style="medium">
        <color auto="1"/>
      </left>
      <right/>
      <top/>
      <bottom/>
      <diagonal/>
    </border>
    <border>
      <left style="medium">
        <color auto="1"/>
      </left>
      <right style="thin">
        <color auto="1"/>
      </right>
      <top/>
      <bottom/>
      <diagonal/>
    </border>
    <border>
      <left/>
      <right style="medium">
        <color auto="1"/>
      </right>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rgb="FF000000"/>
      </right>
      <top style="medium">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style="thin">
        <color auto="1"/>
      </top>
      <bottom style="medium">
        <color auto="1"/>
      </bottom>
      <diagonal/>
    </border>
    <border>
      <left style="medium">
        <color rgb="FF000000"/>
      </left>
      <right/>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s>
  <cellStyleXfs count="124">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01">
    <xf numFmtId="0" fontId="0" fillId="0" borderId="0" xfId="0"/>
    <xf numFmtId="0" fontId="3" fillId="0" borderId="0" xfId="0" applyFont="1"/>
    <xf numFmtId="0" fontId="0" fillId="0" borderId="0" xfId="0" applyAlignment="1">
      <alignment wrapText="1"/>
    </xf>
    <xf numFmtId="0" fontId="7" fillId="0" borderId="0" xfId="10"/>
    <xf numFmtId="0" fontId="7" fillId="0" borderId="0" xfId="10" applyAlignment="1"/>
    <xf numFmtId="164" fontId="12" fillId="3" borderId="3" xfId="0" applyNumberFormat="1" applyFont="1" applyFill="1" applyBorder="1"/>
    <xf numFmtId="0" fontId="0" fillId="0" borderId="0" xfId="0" applyAlignment="1"/>
    <xf numFmtId="164" fontId="12" fillId="0" borderId="1" xfId="0" applyNumberFormat="1" applyFont="1" applyFill="1" applyBorder="1"/>
    <xf numFmtId="0" fontId="0" fillId="0" borderId="0" xfId="0" applyFill="1"/>
    <xf numFmtId="3" fontId="11" fillId="0" borderId="1" xfId="0" applyNumberFormat="1" applyFont="1" applyFill="1" applyBorder="1"/>
    <xf numFmtId="0" fontId="0" fillId="0" borderId="0" xfId="0" applyAlignment="1">
      <alignment wrapText="1"/>
    </xf>
    <xf numFmtId="3" fontId="11" fillId="4" borderId="1" xfId="0" applyNumberFormat="1" applyFont="1" applyFill="1" applyBorder="1"/>
    <xf numFmtId="164" fontId="12" fillId="4" borderId="1" xfId="0" applyNumberFormat="1" applyFont="1" applyFill="1" applyBorder="1"/>
    <xf numFmtId="164" fontId="12" fillId="0" borderId="3" xfId="0" applyNumberFormat="1" applyFont="1" applyFill="1" applyBorder="1"/>
    <xf numFmtId="164" fontId="11" fillId="0" borderId="1" xfId="1" applyNumberFormat="1" applyFont="1" applyFill="1" applyBorder="1"/>
    <xf numFmtId="0" fontId="14" fillId="0" borderId="0" xfId="0" applyFont="1"/>
    <xf numFmtId="0" fontId="0" fillId="0" borderId="0" xfId="0" applyAlignment="1">
      <alignment horizontal="center"/>
    </xf>
    <xf numFmtId="0" fontId="9" fillId="0" borderId="4" xfId="0" applyFont="1" applyBorder="1" applyAlignment="1">
      <alignment horizontal="center" vertical="center"/>
    </xf>
    <xf numFmtId="0" fontId="0" fillId="0" borderId="0" xfId="0" applyAlignment="1">
      <alignment horizontal="center" vertical="center"/>
    </xf>
    <xf numFmtId="1" fontId="11" fillId="0" borderId="1" xfId="0" applyNumberFormat="1" applyFont="1" applyBorder="1" applyAlignment="1">
      <alignment vertical="center"/>
    </xf>
    <xf numFmtId="0" fontId="0" fillId="0" borderId="0" xfId="0" applyAlignment="1">
      <alignment vertical="center"/>
    </xf>
    <xf numFmtId="1" fontId="11" fillId="2" borderId="1" xfId="0" applyNumberFormat="1" applyFont="1" applyFill="1" applyBorder="1" applyAlignment="1">
      <alignment vertical="center"/>
    </xf>
    <xf numFmtId="1" fontId="11" fillId="2" borderId="1" xfId="1" applyNumberFormat="1" applyFont="1" applyFill="1" applyBorder="1" applyAlignment="1">
      <alignment vertical="center"/>
    </xf>
    <xf numFmtId="1" fontId="11" fillId="0" borderId="1" xfId="1" applyNumberFormat="1" applyFont="1" applyBorder="1" applyAlignment="1">
      <alignment vertical="center"/>
    </xf>
    <xf numFmtId="164" fontId="11" fillId="0" borderId="1" xfId="1" applyNumberFormat="1" applyFont="1" applyFill="1" applyBorder="1" applyAlignment="1">
      <alignment vertical="center"/>
    </xf>
    <xf numFmtId="164" fontId="11" fillId="2" borderId="1" xfId="1" applyNumberFormat="1" applyFont="1" applyFill="1" applyBorder="1" applyAlignment="1">
      <alignment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9" fillId="0" borderId="7" xfId="0" applyFont="1" applyBorder="1" applyAlignment="1">
      <alignment horizontal="center" vertical="center"/>
    </xf>
    <xf numFmtId="164" fontId="9" fillId="0" borderId="5" xfId="1" applyNumberFormat="1" applyFont="1" applyBorder="1" applyAlignment="1">
      <alignment horizontal="center" vertical="center"/>
    </xf>
    <xf numFmtId="0" fontId="0" fillId="0" borderId="0" xfId="0" applyFill="1" applyAlignment="1">
      <alignment horizontal="center"/>
    </xf>
    <xf numFmtId="0" fontId="5" fillId="0" borderId="0" xfId="0" applyFont="1" applyAlignment="1">
      <alignment horizontal="left"/>
    </xf>
    <xf numFmtId="0" fontId="0" fillId="0" borderId="0" xfId="0" applyFont="1" applyAlignment="1">
      <alignment horizontal="left" vertical="center" wrapText="1"/>
    </xf>
    <xf numFmtId="0" fontId="5" fillId="0" borderId="0" xfId="0" applyFont="1"/>
    <xf numFmtId="0" fontId="11" fillId="0" borderId="13" xfId="0" applyFont="1" applyBorder="1" applyAlignment="1">
      <alignment horizontal="center" vertical="center"/>
    </xf>
    <xf numFmtId="0" fontId="11" fillId="2" borderId="13"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1" fontId="11" fillId="0" borderId="15" xfId="0" applyNumberFormat="1" applyFont="1" applyBorder="1" applyAlignment="1">
      <alignment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5" fillId="0" borderId="0" xfId="0" applyFont="1" applyAlignment="1"/>
    <xf numFmtId="164" fontId="9" fillId="0" borderId="5" xfId="1" applyNumberFormat="1" applyFont="1" applyBorder="1" applyAlignment="1">
      <alignment horizontal="right" vertical="center"/>
    </xf>
    <xf numFmtId="164" fontId="12" fillId="3" borderId="3" xfId="1" applyNumberFormat="1" applyFont="1" applyFill="1" applyBorder="1"/>
    <xf numFmtId="164" fontId="12" fillId="0" borderId="3" xfId="1" applyNumberFormat="1" applyFont="1" applyFill="1" applyBorder="1"/>
    <xf numFmtId="164" fontId="11" fillId="0" borderId="15" xfId="1" applyNumberFormat="1" applyFont="1" applyBorder="1" applyAlignment="1">
      <alignment vertical="center"/>
    </xf>
    <xf numFmtId="164" fontId="11" fillId="0" borderId="1" xfId="1" applyNumberFormat="1" applyFont="1" applyBorder="1" applyAlignment="1">
      <alignment vertical="center"/>
    </xf>
    <xf numFmtId="164" fontId="11" fillId="4" borderId="15" xfId="1" applyNumberFormat="1" applyFont="1" applyFill="1" applyBorder="1" applyAlignment="1">
      <alignment vertical="center"/>
    </xf>
    <xf numFmtId="164" fontId="11" fillId="4" borderId="1" xfId="1" applyNumberFormat="1" applyFont="1" applyFill="1" applyBorder="1" applyAlignment="1">
      <alignment vertical="center"/>
    </xf>
    <xf numFmtId="0" fontId="6" fillId="0" borderId="0" xfId="0" applyFont="1"/>
    <xf numFmtId="3" fontId="11" fillId="4" borderId="2" xfId="0" applyNumberFormat="1" applyFont="1" applyFill="1" applyBorder="1" applyAlignment="1">
      <alignment horizontal="right"/>
    </xf>
    <xf numFmtId="0" fontId="11" fillId="0" borderId="15" xfId="0" applyNumberFormat="1" applyFont="1" applyBorder="1" applyAlignment="1">
      <alignment vertical="center"/>
    </xf>
    <xf numFmtId="0" fontId="11" fillId="2" borderId="1" xfId="0" applyNumberFormat="1" applyFont="1" applyFill="1" applyBorder="1" applyAlignment="1">
      <alignment vertical="center"/>
    </xf>
    <xf numFmtId="0" fontId="11" fillId="0" borderId="1" xfId="0" applyNumberFormat="1" applyFont="1" applyBorder="1" applyAlignment="1">
      <alignment vertical="center"/>
    </xf>
    <xf numFmtId="0" fontId="11" fillId="2" borderId="1" xfId="1" applyNumberFormat="1" applyFont="1" applyFill="1" applyBorder="1" applyAlignment="1">
      <alignment vertical="center"/>
    </xf>
    <xf numFmtId="0" fontId="11" fillId="0" borderId="1" xfId="1" applyNumberFormat="1" applyFont="1" applyBorder="1" applyAlignment="1">
      <alignment vertical="center"/>
    </xf>
    <xf numFmtId="0" fontId="11" fillId="0" borderId="1" xfId="1" applyNumberFormat="1" applyFont="1" applyFill="1" applyBorder="1" applyAlignment="1">
      <alignment vertical="center"/>
    </xf>
    <xf numFmtId="0" fontId="11" fillId="2" borderId="16" xfId="0" applyFont="1" applyFill="1" applyBorder="1" applyAlignment="1">
      <alignment horizontal="center" vertical="center"/>
    </xf>
    <xf numFmtId="164" fontId="12" fillId="4" borderId="17" xfId="0" applyNumberFormat="1" applyFont="1" applyFill="1" applyBorder="1"/>
    <xf numFmtId="1" fontId="12" fillId="0" borderId="3" xfId="0" applyNumberFormat="1" applyFont="1" applyBorder="1"/>
    <xf numFmtId="1" fontId="12" fillId="4" borderId="3" xfId="0" applyNumberFormat="1" applyFont="1" applyFill="1" applyBorder="1"/>
    <xf numFmtId="0" fontId="0" fillId="0" borderId="0" xfId="0" applyFont="1"/>
    <xf numFmtId="0" fontId="6" fillId="0" borderId="0" xfId="0" applyFont="1" applyAlignment="1"/>
    <xf numFmtId="0" fontId="0" fillId="0" borderId="0" xfId="0" applyAlignment="1">
      <alignment horizontal="left" vertical="top" wrapText="1"/>
    </xf>
    <xf numFmtId="0" fontId="10" fillId="0" borderId="10"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9" fillId="0" borderId="0" xfId="0" applyFont="1" applyBorder="1" applyAlignment="1">
      <alignment horizontal="center" vertical="center"/>
    </xf>
    <xf numFmtId="164" fontId="9" fillId="0" borderId="0" xfId="1" applyNumberFormat="1" applyFont="1" applyBorder="1" applyAlignment="1">
      <alignment horizontal="center" vertical="center"/>
    </xf>
    <xf numFmtId="164" fontId="9" fillId="0" borderId="0" xfId="1" applyNumberFormat="1" applyFont="1" applyBorder="1" applyAlignment="1">
      <alignment horizontal="right" vertical="center"/>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1" fillId="0" borderId="28" xfId="0" applyFont="1" applyBorder="1" applyAlignment="1">
      <alignment horizontal="center" vertical="center"/>
    </xf>
    <xf numFmtId="0" fontId="11" fillId="2" borderId="29" xfId="0" applyFont="1" applyFill="1" applyBorder="1" applyAlignment="1">
      <alignment horizontal="center" vertical="center"/>
    </xf>
    <xf numFmtId="0" fontId="11" fillId="0" borderId="29" xfId="0" applyFont="1" applyBorder="1" applyAlignment="1">
      <alignment horizontal="center" vertical="center"/>
    </xf>
    <xf numFmtId="0" fontId="11" fillId="2" borderId="27" xfId="0" applyFont="1" applyFill="1" applyBorder="1" applyAlignment="1">
      <alignment horizontal="center" vertical="center"/>
    </xf>
    <xf numFmtId="0" fontId="9" fillId="0" borderId="30" xfId="0" applyFont="1" applyBorder="1" applyAlignment="1">
      <alignment horizontal="center" vertical="center"/>
    </xf>
    <xf numFmtId="0" fontId="15"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8" fillId="0" borderId="26" xfId="0" applyFont="1" applyFill="1" applyBorder="1" applyAlignment="1">
      <alignment horizontal="center" vertical="center" wrapText="1"/>
    </xf>
    <xf numFmtId="1" fontId="11" fillId="0" borderId="14" xfId="0" applyNumberFormat="1" applyFont="1" applyBorder="1" applyAlignment="1">
      <alignment vertical="center"/>
    </xf>
    <xf numFmtId="1" fontId="11" fillId="0" borderId="31" xfId="0" applyNumberFormat="1" applyFont="1" applyBorder="1" applyAlignment="1">
      <alignment vertical="center"/>
    </xf>
    <xf numFmtId="3" fontId="11" fillId="4" borderId="13" xfId="0" applyNumberFormat="1" applyFont="1" applyFill="1" applyBorder="1"/>
    <xf numFmtId="3" fontId="11" fillId="4" borderId="21" xfId="0" applyNumberFormat="1" applyFont="1" applyFill="1" applyBorder="1"/>
    <xf numFmtId="3" fontId="11" fillId="0" borderId="13" xfId="0" applyNumberFormat="1" applyFont="1" applyFill="1" applyBorder="1"/>
    <xf numFmtId="3" fontId="11" fillId="0" borderId="21" xfId="0" applyNumberFormat="1" applyFont="1" applyFill="1" applyBorder="1"/>
    <xf numFmtId="164" fontId="12" fillId="0" borderId="13" xfId="0" applyNumberFormat="1" applyFont="1" applyFill="1" applyBorder="1"/>
    <xf numFmtId="164" fontId="12" fillId="0" borderId="21" xfId="0" applyNumberFormat="1" applyFont="1" applyFill="1" applyBorder="1"/>
    <xf numFmtId="164" fontId="12" fillId="4" borderId="13" xfId="0" applyNumberFormat="1" applyFont="1" applyFill="1" applyBorder="1"/>
    <xf numFmtId="164" fontId="12" fillId="4" borderId="21" xfId="0" applyNumberFormat="1" applyFont="1" applyFill="1" applyBorder="1"/>
    <xf numFmtId="164" fontId="12" fillId="4" borderId="16" xfId="0" applyNumberFormat="1" applyFont="1" applyFill="1" applyBorder="1"/>
    <xf numFmtId="164" fontId="12" fillId="4" borderId="18" xfId="0" applyNumberFormat="1" applyFont="1" applyFill="1" applyBorder="1"/>
    <xf numFmtId="164" fontId="9" fillId="0" borderId="4" xfId="1" applyNumberFormat="1" applyFont="1" applyBorder="1" applyAlignment="1">
      <alignment horizontal="center" vertical="center"/>
    </xf>
    <xf numFmtId="164" fontId="9" fillId="0" borderId="6" xfId="1" applyNumberFormat="1" applyFont="1" applyBorder="1" applyAlignment="1">
      <alignment horizontal="center" vertical="center"/>
    </xf>
    <xf numFmtId="164" fontId="11" fillId="0" borderId="14" xfId="1" applyNumberFormat="1" applyFont="1" applyBorder="1" applyAlignment="1">
      <alignment vertical="center"/>
    </xf>
    <xf numFmtId="0" fontId="0" fillId="0" borderId="0" xfId="0" applyBorder="1"/>
    <xf numFmtId="0" fontId="0" fillId="0" borderId="26" xfId="0" applyBorder="1"/>
    <xf numFmtId="164" fontId="12" fillId="4" borderId="13" xfId="1" applyNumberFormat="1" applyFont="1" applyFill="1" applyBorder="1"/>
    <xf numFmtId="164" fontId="12" fillId="0" borderId="13" xfId="1" applyNumberFormat="1" applyFont="1" applyFill="1" applyBorder="1"/>
    <xf numFmtId="164" fontId="11" fillId="0" borderId="13" xfId="1" applyNumberFormat="1" applyFont="1" applyBorder="1" applyAlignment="1">
      <alignment vertical="center"/>
    </xf>
    <xf numFmtId="164" fontId="11" fillId="4" borderId="13" xfId="1" applyNumberFormat="1" applyFont="1" applyFill="1" applyBorder="1" applyAlignment="1">
      <alignment vertical="center"/>
    </xf>
    <xf numFmtId="164" fontId="11" fillId="2" borderId="13" xfId="1" applyNumberFormat="1" applyFont="1" applyFill="1" applyBorder="1" applyAlignment="1">
      <alignment vertical="center"/>
    </xf>
    <xf numFmtId="164" fontId="11" fillId="0" borderId="13" xfId="1" applyNumberFormat="1" applyFont="1" applyFill="1" applyBorder="1" applyAlignment="1">
      <alignment vertical="center"/>
    </xf>
    <xf numFmtId="164" fontId="11" fillId="2" borderId="16" xfId="1" applyNumberFormat="1" applyFont="1" applyFill="1" applyBorder="1" applyAlignment="1">
      <alignment vertical="center"/>
    </xf>
    <xf numFmtId="164" fontId="9" fillId="0" borderId="4" xfId="1" applyNumberFormat="1" applyFont="1" applyBorder="1" applyAlignment="1">
      <alignment horizontal="right" vertical="center"/>
    </xf>
    <xf numFmtId="164" fontId="9" fillId="0" borderId="24" xfId="1" applyNumberFormat="1" applyFont="1" applyBorder="1" applyAlignment="1">
      <alignment horizontal="center" vertical="center"/>
    </xf>
    <xf numFmtId="164" fontId="9" fillId="0" borderId="33" xfId="1" applyNumberFormat="1" applyFont="1" applyBorder="1" applyAlignment="1">
      <alignment horizontal="center" vertical="center"/>
    </xf>
    <xf numFmtId="164" fontId="9" fillId="0" borderId="26" xfId="1" applyNumberFormat="1" applyFont="1" applyBorder="1" applyAlignment="1">
      <alignment horizontal="center" vertical="center"/>
    </xf>
    <xf numFmtId="164" fontId="9" fillId="0" borderId="34" xfId="1" applyNumberFormat="1" applyFont="1" applyBorder="1" applyAlignment="1">
      <alignment horizontal="center" vertical="center"/>
    </xf>
    <xf numFmtId="164" fontId="9" fillId="0" borderId="35" xfId="1" applyNumberFormat="1" applyFont="1" applyBorder="1" applyAlignment="1">
      <alignment horizontal="center" vertical="center"/>
    </xf>
    <xf numFmtId="164" fontId="20" fillId="0" borderId="0" xfId="1" applyNumberFormat="1" applyFont="1" applyBorder="1" applyAlignment="1">
      <alignment horizontal="left" vertical="center"/>
    </xf>
    <xf numFmtId="164" fontId="21" fillId="0" borderId="0" xfId="1" applyNumberFormat="1" applyFont="1" applyBorder="1" applyAlignment="1">
      <alignment horizontal="left" vertical="center"/>
    </xf>
    <xf numFmtId="0" fontId="0" fillId="0" borderId="1" xfId="0" applyBorder="1"/>
    <xf numFmtId="0" fontId="0" fillId="0" borderId="0" xfId="0" applyAlignment="1">
      <alignment horizontal="left"/>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164" fontId="11" fillId="2" borderId="15" xfId="1" applyNumberFormat="1" applyFont="1" applyFill="1" applyBorder="1" applyAlignment="1">
      <alignment vertical="center"/>
    </xf>
    <xf numFmtId="0" fontId="10" fillId="0" borderId="10" xfId="0" applyFont="1" applyBorder="1" applyAlignment="1">
      <alignment vertical="center" wrapText="1"/>
    </xf>
    <xf numFmtId="0" fontId="10" fillId="0" borderId="9" xfId="0" applyFont="1" applyBorder="1" applyAlignment="1">
      <alignment vertical="center" wrapText="1"/>
    </xf>
    <xf numFmtId="0" fontId="23" fillId="3" borderId="38"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164" fontId="11" fillId="2" borderId="17" xfId="1" applyNumberFormat="1" applyFont="1" applyFill="1" applyBorder="1" applyAlignment="1">
      <alignment vertical="center"/>
    </xf>
    <xf numFmtId="164" fontId="11" fillId="4" borderId="17" xfId="1" applyNumberFormat="1" applyFont="1" applyFill="1" applyBorder="1" applyAlignment="1">
      <alignment vertical="center"/>
    </xf>
    <xf numFmtId="0" fontId="24" fillId="2" borderId="13" xfId="0" applyFont="1" applyFill="1" applyBorder="1" applyAlignment="1">
      <alignment horizontal="center" vertical="center"/>
    </xf>
    <xf numFmtId="164" fontId="11" fillId="2" borderId="2" xfId="1" applyNumberFormat="1" applyFont="1" applyFill="1" applyBorder="1" applyAlignment="1">
      <alignment vertical="center"/>
    </xf>
    <xf numFmtId="164" fontId="9" fillId="0" borderId="1" xfId="1" applyNumberFormat="1" applyFont="1" applyBorder="1" applyAlignment="1">
      <alignment horizontal="center" vertical="center"/>
    </xf>
    <xf numFmtId="164" fontId="0" fillId="0" borderId="5" xfId="0" applyNumberFormat="1" applyBorder="1"/>
    <xf numFmtId="0" fontId="11" fillId="2" borderId="41" xfId="0" applyFont="1" applyFill="1" applyBorder="1" applyAlignment="1">
      <alignment horizontal="center" vertical="center"/>
    </xf>
    <xf numFmtId="0" fontId="11" fillId="2" borderId="2" xfId="0" applyFont="1" applyFill="1" applyBorder="1" applyAlignment="1">
      <alignment horizontal="center" vertical="center"/>
    </xf>
    <xf numFmtId="164" fontId="11" fillId="4" borderId="2" xfId="1" applyNumberFormat="1" applyFont="1" applyFill="1" applyBorder="1" applyAlignment="1">
      <alignment vertical="center"/>
    </xf>
    <xf numFmtId="0" fontId="19" fillId="0" borderId="1" xfId="0" applyFont="1" applyBorder="1" applyAlignment="1">
      <alignment horizontal="center" vertical="center"/>
    </xf>
    <xf numFmtId="0" fontId="9" fillId="0" borderId="1" xfId="0" applyFont="1" applyBorder="1" applyAlignment="1">
      <alignment horizontal="center" vertical="center"/>
    </xf>
    <xf numFmtId="0" fontId="25" fillId="0" borderId="1" xfId="0" applyFont="1" applyBorder="1" applyAlignment="1">
      <alignment horizontal="center" vertical="center"/>
    </xf>
    <xf numFmtId="0" fontId="0" fillId="0" borderId="1" xfId="0" applyBorder="1"/>
    <xf numFmtId="0" fontId="0" fillId="0" borderId="0" xfId="0" applyAlignment="1">
      <alignment horizontal="left"/>
    </xf>
    <xf numFmtId="0" fontId="18" fillId="0" borderId="4" xfId="0" applyFont="1" applyBorder="1" applyAlignment="1">
      <alignment horizontal="center" vertical="center"/>
    </xf>
    <xf numFmtId="0" fontId="18" fillId="0" borderId="13" xfId="0" applyFont="1" applyBorder="1" applyAlignment="1">
      <alignment horizontal="center" vertical="center"/>
    </xf>
    <xf numFmtId="164" fontId="9" fillId="0" borderId="1" xfId="1" applyNumberFormat="1" applyFont="1" applyBorder="1" applyAlignment="1">
      <alignment horizontal="right" vertical="center"/>
    </xf>
    <xf numFmtId="0" fontId="0" fillId="0" borderId="29" xfId="0" applyBorder="1"/>
    <xf numFmtId="0" fontId="18" fillId="0" borderId="41" xfId="0" applyFont="1" applyBorder="1" applyAlignment="1">
      <alignment horizontal="center" vertical="center"/>
    </xf>
    <xf numFmtId="0" fontId="9" fillId="0" borderId="2" xfId="0" applyFont="1" applyBorder="1" applyAlignment="1">
      <alignment horizontal="center" vertical="center"/>
    </xf>
    <xf numFmtId="164" fontId="9" fillId="0" borderId="2" xfId="1" applyNumberFormat="1" applyFont="1" applyBorder="1" applyAlignment="1">
      <alignment horizontal="center" vertical="center"/>
    </xf>
    <xf numFmtId="164" fontId="9" fillId="0" borderId="2" xfId="1" applyNumberFormat="1" applyFont="1" applyBorder="1" applyAlignment="1">
      <alignment horizontal="right" vertical="center"/>
    </xf>
    <xf numFmtId="0" fontId="0" fillId="0" borderId="2" xfId="0" applyBorder="1"/>
    <xf numFmtId="0" fontId="0" fillId="0" borderId="3" xfId="0" applyBorder="1"/>
    <xf numFmtId="0" fontId="9" fillId="0" borderId="5" xfId="0" applyFont="1" applyBorder="1" applyAlignment="1">
      <alignment horizontal="center" vertical="center"/>
    </xf>
    <xf numFmtId="0" fontId="0" fillId="0" borderId="5" xfId="0" applyBorder="1"/>
    <xf numFmtId="0" fontId="0" fillId="0" borderId="6" xfId="0" applyBorder="1"/>
    <xf numFmtId="0" fontId="0" fillId="0" borderId="21" xfId="0" applyBorder="1"/>
    <xf numFmtId="0" fontId="0" fillId="0" borderId="44" xfId="0" applyBorder="1"/>
    <xf numFmtId="1" fontId="9" fillId="0" borderId="0" xfId="0" applyNumberFormat="1" applyFont="1" applyBorder="1" applyAlignment="1">
      <alignment horizontal="right" vertical="center"/>
    </xf>
    <xf numFmtId="164" fontId="11" fillId="4" borderId="2" xfId="1" applyNumberFormat="1" applyFont="1" applyFill="1" applyBorder="1"/>
    <xf numFmtId="1" fontId="11" fillId="2" borderId="2" xfId="1" applyNumberFormat="1" applyFont="1" applyFill="1" applyBorder="1" applyAlignment="1">
      <alignment vertical="center"/>
    </xf>
    <xf numFmtId="1" fontId="9" fillId="0" borderId="21" xfId="0" applyNumberFormat="1" applyFont="1" applyBorder="1" applyAlignment="1">
      <alignment horizontal="right" vertical="center"/>
    </xf>
    <xf numFmtId="1" fontId="9" fillId="0" borderId="44" xfId="0" applyNumberFormat="1" applyFont="1" applyBorder="1" applyAlignment="1">
      <alignment horizontal="right" vertical="center"/>
    </xf>
    <xf numFmtId="1" fontId="9" fillId="0" borderId="6" xfId="0" applyNumberFormat="1" applyFont="1" applyBorder="1" applyAlignment="1">
      <alignment horizontal="right" vertical="center"/>
    </xf>
    <xf numFmtId="0" fontId="0" fillId="0" borderId="45" xfId="0" applyBorder="1"/>
    <xf numFmtId="0" fontId="0" fillId="0" borderId="11" xfId="0" applyBorder="1"/>
    <xf numFmtId="0" fontId="3" fillId="0" borderId="0" xfId="0" applyFont="1" applyFill="1"/>
    <xf numFmtId="164" fontId="11" fillId="0" borderId="2" xfId="1" applyNumberFormat="1" applyFont="1" applyFill="1" applyBorder="1" applyAlignment="1">
      <alignment vertical="center"/>
    </xf>
    <xf numFmtId="164" fontId="9" fillId="0" borderId="1" xfId="1" applyNumberFormat="1" applyFont="1" applyFill="1" applyBorder="1" applyAlignment="1">
      <alignment horizontal="right" vertical="center"/>
    </xf>
    <xf numFmtId="164" fontId="9" fillId="0" borderId="2" xfId="1" applyNumberFormat="1" applyFont="1" applyFill="1" applyBorder="1" applyAlignment="1">
      <alignment horizontal="right" vertical="center"/>
    </xf>
    <xf numFmtId="164" fontId="9" fillId="0" borderId="5" xfId="1" applyNumberFormat="1" applyFont="1" applyFill="1" applyBorder="1" applyAlignment="1">
      <alignment horizontal="right" vertical="center"/>
    </xf>
    <xf numFmtId="3" fontId="0" fillId="0" borderId="0" xfId="0" applyNumberFormat="1"/>
    <xf numFmtId="0" fontId="28" fillId="0" borderId="0" xfId="0" applyFont="1" applyAlignment="1">
      <alignment horizontal="center"/>
    </xf>
    <xf numFmtId="0" fontId="28" fillId="0" borderId="0" xfId="0" applyFont="1" applyAlignment="1">
      <alignment horizontal="right"/>
    </xf>
    <xf numFmtId="165" fontId="29" fillId="0" borderId="0" xfId="0" applyNumberFormat="1" applyFont="1"/>
    <xf numFmtId="0" fontId="0" fillId="0" borderId="46" xfId="0" applyBorder="1"/>
    <xf numFmtId="0" fontId="0" fillId="0" borderId="39" xfId="0" applyBorder="1"/>
    <xf numFmtId="0" fontId="0" fillId="0" borderId="49" xfId="0" applyBorder="1" applyAlignment="1">
      <alignment horizontal="center" wrapText="1"/>
    </xf>
    <xf numFmtId="0" fontId="0" fillId="0" borderId="50" xfId="0" applyBorder="1"/>
    <xf numFmtId="0" fontId="3" fillId="0" borderId="0" xfId="0" applyFont="1" applyAlignment="1">
      <alignment vertical="center"/>
    </xf>
    <xf numFmtId="0" fontId="31" fillId="0" borderId="0" xfId="0" applyFont="1"/>
    <xf numFmtId="0" fontId="15" fillId="0" borderId="17" xfId="0" applyFont="1" applyFill="1" applyBorder="1" applyAlignment="1">
      <alignment horizontal="center" vertical="center" wrapText="1"/>
    </xf>
    <xf numFmtId="164" fontId="0" fillId="0" borderId="6" xfId="1" applyNumberFormat="1" applyFont="1" applyBorder="1"/>
    <xf numFmtId="0" fontId="0" fillId="0" borderId="0" xfId="0" applyBorder="1" applyAlignment="1">
      <alignment horizontal="center" vertical="center"/>
    </xf>
    <xf numFmtId="0" fontId="0" fillId="0" borderId="52" xfId="0" applyBorder="1" applyAlignment="1">
      <alignment horizontal="center" wrapText="1"/>
    </xf>
    <xf numFmtId="0" fontId="0" fillId="0" borderId="54" xfId="0" applyBorder="1"/>
    <xf numFmtId="0" fontId="0" fillId="0" borderId="51" xfId="0" applyBorder="1"/>
    <xf numFmtId="0" fontId="0" fillId="0" borderId="20" xfId="0" applyBorder="1"/>
    <xf numFmtId="0" fontId="36" fillId="0" borderId="0" xfId="0" applyFont="1" applyAlignment="1">
      <alignment vertical="center"/>
    </xf>
    <xf numFmtId="0" fontId="7" fillId="0" borderId="0" xfId="10" applyAlignment="1">
      <alignment vertical="center"/>
    </xf>
    <xf numFmtId="0" fontId="0" fillId="5" borderId="29" xfId="0" applyFill="1" applyBorder="1"/>
    <xf numFmtId="2" fontId="0" fillId="5" borderId="39" xfId="0" applyNumberFormat="1" applyFill="1" applyBorder="1"/>
    <xf numFmtId="0" fontId="27" fillId="0" borderId="49" xfId="0" applyFont="1" applyBorder="1" applyAlignment="1">
      <alignment horizontal="center" vertical="center" wrapText="1"/>
    </xf>
    <xf numFmtId="0" fontId="27" fillId="0" borderId="47" xfId="0" applyFont="1" applyBorder="1" applyAlignment="1">
      <alignment horizontal="center" vertical="center"/>
    </xf>
    <xf numFmtId="0" fontId="0" fillId="0" borderId="0" xfId="0" applyBorder="1" applyAlignment="1">
      <alignment horizontal="center" vertical="center"/>
    </xf>
    <xf numFmtId="0" fontId="27" fillId="0" borderId="3" xfId="0" applyFont="1" applyBorder="1" applyAlignment="1">
      <alignment horizontal="center" vertical="center" wrapText="1"/>
    </xf>
    <xf numFmtId="168" fontId="0" fillId="0" borderId="0" xfId="0" applyNumberFormat="1"/>
    <xf numFmtId="0" fontId="18" fillId="0" borderId="11" xfId="0" applyFont="1" applyFill="1" applyBorder="1" applyAlignment="1">
      <alignment horizontal="center" vertical="center" wrapText="1"/>
    </xf>
    <xf numFmtId="0" fontId="18" fillId="0" borderId="45" xfId="0" applyFont="1" applyFill="1" applyBorder="1" applyAlignment="1">
      <alignment horizontal="center" vertical="center" wrapText="1"/>
    </xf>
    <xf numFmtId="164" fontId="3" fillId="0" borderId="5" xfId="0" applyNumberFormat="1" applyFont="1" applyBorder="1"/>
    <xf numFmtId="9" fontId="0" fillId="0" borderId="0" xfId="0" applyNumberFormat="1"/>
    <xf numFmtId="0" fontId="23" fillId="3" borderId="0" xfId="0" applyFont="1" applyFill="1" applyBorder="1" applyAlignment="1">
      <alignment horizontal="center" vertical="center" wrapText="1"/>
    </xf>
    <xf numFmtId="164" fontId="3" fillId="0" borderId="0" xfId="0" applyNumberFormat="1" applyFont="1"/>
    <xf numFmtId="0" fontId="38" fillId="0" borderId="0" xfId="0" applyFont="1"/>
    <xf numFmtId="0" fontId="31" fillId="0" borderId="0" xfId="0" applyFont="1" applyAlignment="1">
      <alignment horizontal="center"/>
    </xf>
    <xf numFmtId="0" fontId="40" fillId="0" borderId="0" xfId="0" applyFont="1" applyBorder="1" applyAlignment="1">
      <alignment vertical="center"/>
    </xf>
    <xf numFmtId="164" fontId="31" fillId="0" borderId="0" xfId="1" applyNumberFormat="1" applyFont="1" applyBorder="1" applyAlignment="1">
      <alignment horizontal="left" vertical="center"/>
    </xf>
    <xf numFmtId="164" fontId="31" fillId="0" borderId="0" xfId="1" applyNumberFormat="1"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vertical="center"/>
    </xf>
    <xf numFmtId="164" fontId="3" fillId="0" borderId="34" xfId="0" applyNumberFormat="1" applyFont="1" applyBorder="1"/>
    <xf numFmtId="164" fontId="3" fillId="0" borderId="35" xfId="1" applyNumberFormat="1" applyFont="1" applyBorder="1"/>
    <xf numFmtId="0" fontId="3" fillId="0" borderId="51" xfId="0" applyFont="1" applyBorder="1" applyAlignment="1">
      <alignment horizontal="center" vertical="center" wrapText="1"/>
    </xf>
    <xf numFmtId="0" fontId="0" fillId="0" borderId="10" xfId="0" applyBorder="1"/>
    <xf numFmtId="164" fontId="0" fillId="0" borderId="32" xfId="0" applyNumberFormat="1" applyBorder="1"/>
    <xf numFmtId="0" fontId="18" fillId="0" borderId="58"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0" fillId="0" borderId="52" xfId="0" applyBorder="1" applyAlignment="1">
      <alignment horizontal="center"/>
    </xf>
    <xf numFmtId="0" fontId="0" fillId="0" borderId="24" xfId="0" applyBorder="1"/>
    <xf numFmtId="0" fontId="0" fillId="0" borderId="59" xfId="0" applyBorder="1"/>
    <xf numFmtId="2" fontId="0" fillId="5" borderId="20" xfId="0" applyNumberFormat="1" applyFill="1" applyBorder="1"/>
    <xf numFmtId="0" fontId="0" fillId="5" borderId="46" xfId="0" applyFill="1" applyBorder="1" applyAlignment="1">
      <alignment horizontal="center" vertical="center"/>
    </xf>
    <xf numFmtId="0" fontId="0" fillId="0" borderId="52" xfId="0" applyBorder="1"/>
    <xf numFmtId="0" fontId="0" fillId="0" borderId="49" xfId="0" applyBorder="1"/>
    <xf numFmtId="0" fontId="0" fillId="0" borderId="49" xfId="0" applyBorder="1" applyAlignment="1">
      <alignment horizontal="center" vertical="center"/>
    </xf>
    <xf numFmtId="3" fontId="0" fillId="0" borderId="0" xfId="0" applyNumberFormat="1" applyBorder="1"/>
    <xf numFmtId="3" fontId="0" fillId="0" borderId="23" xfId="0" applyNumberFormat="1" applyFill="1" applyBorder="1"/>
    <xf numFmtId="166" fontId="0" fillId="0" borderId="59" xfId="0" applyNumberFormat="1" applyFill="1" applyBorder="1"/>
    <xf numFmtId="167" fontId="0" fillId="0" borderId="26" xfId="0" applyNumberFormat="1" applyBorder="1"/>
    <xf numFmtId="0" fontId="0" fillId="0" borderId="28" xfId="0" applyBorder="1"/>
    <xf numFmtId="0" fontId="0" fillId="0" borderId="48" xfId="0" applyBorder="1"/>
    <xf numFmtId="0" fontId="0" fillId="0" borderId="50" xfId="0" applyBorder="1" applyAlignment="1">
      <alignment horizontal="center" vertical="center"/>
    </xf>
    <xf numFmtId="0" fontId="0" fillId="0" borderId="19" xfId="0" applyBorder="1"/>
    <xf numFmtId="0" fontId="0" fillId="0" borderId="47" xfId="0" applyBorder="1"/>
    <xf numFmtId="0" fontId="0" fillId="0" borderId="53" xfId="0" applyBorder="1"/>
    <xf numFmtId="9" fontId="0" fillId="0" borderId="49" xfId="0" applyNumberFormat="1" applyBorder="1"/>
    <xf numFmtId="2" fontId="0" fillId="0" borderId="53" xfId="0" applyNumberFormat="1" applyBorder="1"/>
    <xf numFmtId="3" fontId="0" fillId="0" borderId="50" xfId="0" applyNumberFormat="1" applyBorder="1"/>
    <xf numFmtId="3" fontId="0" fillId="0" borderId="28" xfId="0" applyNumberFormat="1" applyFill="1" applyBorder="1"/>
    <xf numFmtId="166" fontId="0" fillId="0" borderId="48" xfId="0" applyNumberFormat="1" applyFill="1" applyBorder="1"/>
    <xf numFmtId="167" fontId="0" fillId="0" borderId="19" xfId="0" applyNumberFormat="1" applyBorder="1"/>
    <xf numFmtId="0" fontId="0" fillId="0" borderId="23" xfId="0" applyBorder="1"/>
    <xf numFmtId="0" fontId="0" fillId="0" borderId="3" xfId="0" applyFill="1" applyBorder="1"/>
    <xf numFmtId="2" fontId="0" fillId="0" borderId="47" xfId="0" applyNumberFormat="1" applyFill="1" applyBorder="1"/>
    <xf numFmtId="9" fontId="0" fillId="0" borderId="49" xfId="0" applyNumberFormat="1" applyBorder="1" applyAlignment="1">
      <alignment horizontal="center" vertical="center"/>
    </xf>
    <xf numFmtId="2" fontId="0" fillId="0" borderId="47" xfId="0" applyNumberFormat="1" applyBorder="1"/>
    <xf numFmtId="0" fontId="0" fillId="5" borderId="3" xfId="0" applyFill="1" applyBorder="1"/>
    <xf numFmtId="2" fontId="0" fillId="5" borderId="47" xfId="0" applyNumberFormat="1" applyFill="1" applyBorder="1"/>
    <xf numFmtId="0" fontId="0" fillId="5" borderId="49" xfId="0" applyFill="1" applyBorder="1" applyAlignment="1">
      <alignment horizontal="center" vertical="center"/>
    </xf>
    <xf numFmtId="2" fontId="0" fillId="5" borderId="53" xfId="0" applyNumberFormat="1" applyFill="1" applyBorder="1"/>
    <xf numFmtId="0" fontId="0" fillId="5" borderId="53" xfId="0" applyFill="1" applyBorder="1"/>
    <xf numFmtId="2" fontId="0" fillId="0" borderId="48" xfId="0" applyNumberFormat="1" applyBorder="1"/>
    <xf numFmtId="9" fontId="0" fillId="0" borderId="50" xfId="0" applyNumberFormat="1" applyBorder="1" applyAlignment="1">
      <alignment horizontal="center" vertical="center"/>
    </xf>
    <xf numFmtId="0" fontId="0" fillId="5" borderId="49" xfId="0" applyFill="1" applyBorder="1" applyAlignment="1">
      <alignment horizontal="center"/>
    </xf>
    <xf numFmtId="0" fontId="0" fillId="4" borderId="52" xfId="0" applyFill="1" applyBorder="1"/>
    <xf numFmtId="0" fontId="0" fillId="4" borderId="49" xfId="0" applyFill="1" applyBorder="1"/>
    <xf numFmtId="0" fontId="0" fillId="4" borderId="24" xfId="0" applyFill="1" applyBorder="1"/>
    <xf numFmtId="0" fontId="0" fillId="4" borderId="59" xfId="0" applyFill="1" applyBorder="1"/>
    <xf numFmtId="0" fontId="0" fillId="4" borderId="0" xfId="0" applyFill="1" applyBorder="1"/>
    <xf numFmtId="0" fontId="0" fillId="4" borderId="26" xfId="0" applyFill="1" applyBorder="1"/>
    <xf numFmtId="0" fontId="0" fillId="4" borderId="23" xfId="0" applyFill="1" applyBorder="1"/>
    <xf numFmtId="0" fontId="0" fillId="4" borderId="0" xfId="0" applyFill="1" applyBorder="1" applyAlignment="1">
      <alignment horizontal="center" vertical="center"/>
    </xf>
    <xf numFmtId="0" fontId="0" fillId="4" borderId="54" xfId="0" applyFill="1" applyBorder="1"/>
    <xf numFmtId="0" fontId="0" fillId="4" borderId="50" xfId="0" applyFill="1" applyBorder="1"/>
    <xf numFmtId="0" fontId="0" fillId="4" borderId="28" xfId="0" applyFill="1" applyBorder="1"/>
    <xf numFmtId="0" fontId="0" fillId="4" borderId="48" xfId="0" applyFill="1" applyBorder="1"/>
    <xf numFmtId="0" fontId="0" fillId="4" borderId="50" xfId="0" applyFill="1" applyBorder="1" applyAlignment="1">
      <alignment horizontal="center" vertical="center"/>
    </xf>
    <xf numFmtId="0" fontId="0" fillId="4" borderId="19" xfId="0" applyFill="1" applyBorder="1"/>
    <xf numFmtId="0" fontId="0" fillId="4" borderId="3" xfId="0" applyFill="1" applyBorder="1"/>
    <xf numFmtId="0" fontId="0" fillId="4" borderId="47" xfId="0" applyFill="1" applyBorder="1"/>
    <xf numFmtId="0" fontId="0" fillId="4" borderId="49" xfId="0" applyFill="1" applyBorder="1" applyAlignment="1">
      <alignment horizontal="center" vertical="center"/>
    </xf>
    <xf numFmtId="0" fontId="0" fillId="4" borderId="53" xfId="0" applyFill="1" applyBorder="1"/>
    <xf numFmtId="0" fontId="3" fillId="0" borderId="1" xfId="0" applyFont="1" applyBorder="1" applyAlignment="1">
      <alignment horizontal="center" vertical="center" wrapText="1"/>
    </xf>
    <xf numFmtId="0" fontId="27" fillId="0" borderId="2" xfId="0" applyFont="1" applyBorder="1" applyAlignment="1">
      <alignment horizontal="center" vertical="center"/>
    </xf>
    <xf numFmtId="0" fontId="0" fillId="4" borderId="60" xfId="0" applyFill="1" applyBorder="1"/>
    <xf numFmtId="2" fontId="0" fillId="0" borderId="2" xfId="0" applyNumberFormat="1" applyBorder="1"/>
    <xf numFmtId="2" fontId="0" fillId="0" borderId="60" xfId="0" applyNumberFormat="1" applyBorder="1"/>
    <xf numFmtId="2" fontId="0" fillId="0" borderId="15" xfId="0" applyNumberFormat="1" applyBorder="1"/>
    <xf numFmtId="0" fontId="0" fillId="0" borderId="60" xfId="0" applyBorder="1"/>
    <xf numFmtId="0" fontId="0" fillId="0" borderId="15" xfId="0" applyBorder="1"/>
    <xf numFmtId="2" fontId="0" fillId="5" borderId="2" xfId="0" applyNumberFormat="1" applyFill="1" applyBorder="1"/>
    <xf numFmtId="0" fontId="0" fillId="5" borderId="2" xfId="0" applyFill="1" applyBorder="1"/>
    <xf numFmtId="0" fontId="42" fillId="0" borderId="26" xfId="0" applyFont="1" applyBorder="1" applyAlignment="1">
      <alignment horizontal="center" vertical="center" wrapText="1"/>
    </xf>
    <xf numFmtId="2" fontId="0" fillId="0" borderId="26" xfId="0" applyNumberFormat="1" applyBorder="1"/>
    <xf numFmtId="0" fontId="27" fillId="0" borderId="53" xfId="0" applyFont="1" applyBorder="1" applyAlignment="1">
      <alignment horizontal="center" vertical="center" wrapText="1"/>
    </xf>
    <xf numFmtId="9" fontId="0" fillId="0" borderId="0" xfId="0" applyNumberFormat="1" applyBorder="1"/>
    <xf numFmtId="0" fontId="0" fillId="4" borderId="51" xfId="0" applyFill="1" applyBorder="1"/>
    <xf numFmtId="0" fontId="0" fillId="4" borderId="46" xfId="0" applyFill="1" applyBorder="1"/>
    <xf numFmtId="0" fontId="27" fillId="4" borderId="46"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39" xfId="0" applyFont="1" applyFill="1" applyBorder="1" applyAlignment="1">
      <alignment horizontal="center" vertical="center"/>
    </xf>
    <xf numFmtId="0" fontId="27" fillId="4" borderId="20" xfId="0" applyFont="1" applyFill="1" applyBorder="1" applyAlignment="1">
      <alignment horizontal="center" wrapText="1"/>
    </xf>
    <xf numFmtId="0" fontId="0" fillId="4" borderId="39" xfId="0" applyFill="1" applyBorder="1"/>
    <xf numFmtId="0" fontId="0" fillId="4" borderId="1" xfId="0" applyFill="1" applyBorder="1"/>
    <xf numFmtId="0" fontId="0" fillId="4" borderId="20" xfId="0" applyFill="1" applyBorder="1"/>
    <xf numFmtId="0" fontId="3" fillId="0" borderId="42" xfId="0" applyFont="1" applyBorder="1" applyAlignment="1">
      <alignment vertical="center"/>
    </xf>
    <xf numFmtId="0" fontId="3" fillId="0" borderId="55" xfId="0" applyFont="1" applyBorder="1" applyAlignment="1">
      <alignment vertical="center"/>
    </xf>
    <xf numFmtId="3" fontId="3" fillId="0" borderId="55" xfId="0" applyNumberFormat="1" applyFont="1" applyBorder="1" applyAlignment="1">
      <alignment vertical="center"/>
    </xf>
    <xf numFmtId="3" fontId="3" fillId="0" borderId="27" xfId="0" applyNumberFormat="1" applyFont="1" applyBorder="1" applyAlignment="1">
      <alignment vertical="center"/>
    </xf>
    <xf numFmtId="166" fontId="3" fillId="0" borderId="40" xfId="0" applyNumberFormat="1" applyFont="1" applyBorder="1" applyAlignment="1">
      <alignment vertical="center"/>
    </xf>
    <xf numFmtId="0" fontId="3" fillId="0" borderId="55" xfId="0" applyFont="1" applyBorder="1" applyAlignment="1">
      <alignment horizontal="center" vertical="center"/>
    </xf>
    <xf numFmtId="167" fontId="3" fillId="0" borderId="22" xfId="0" applyNumberFormat="1" applyFont="1" applyBorder="1" applyAlignment="1">
      <alignment vertical="center"/>
    </xf>
    <xf numFmtId="2" fontId="3" fillId="0" borderId="40" xfId="0" applyNumberFormat="1" applyFont="1" applyBorder="1" applyAlignment="1">
      <alignment vertical="center"/>
    </xf>
    <xf numFmtId="2" fontId="3" fillId="0" borderId="22" xfId="0" applyNumberFormat="1" applyFont="1" applyBorder="1" applyAlignment="1">
      <alignment vertical="center"/>
    </xf>
    <xf numFmtId="167" fontId="3" fillId="0" borderId="35" xfId="0" applyNumberFormat="1" applyFont="1" applyBorder="1" applyAlignment="1">
      <alignment vertical="center"/>
    </xf>
    <xf numFmtId="0" fontId="23" fillId="3" borderId="20" xfId="0" applyFont="1" applyFill="1" applyBorder="1" applyAlignment="1">
      <alignment horizontal="center" vertical="center" wrapText="1"/>
    </xf>
    <xf numFmtId="0" fontId="0" fillId="0" borderId="0" xfId="0" applyFont="1" applyAlignment="1">
      <alignment vertical="center"/>
    </xf>
    <xf numFmtId="0" fontId="3" fillId="0" borderId="44" xfId="0" applyFont="1" applyBorder="1" applyAlignment="1">
      <alignment horizontal="center" vertical="center"/>
    </xf>
    <xf numFmtId="0" fontId="0" fillId="0" borderId="64" xfId="0" applyBorder="1" applyAlignment="1">
      <alignment horizontal="center"/>
    </xf>
    <xf numFmtId="0" fontId="3" fillId="0" borderId="31" xfId="0" applyFont="1" applyBorder="1" applyAlignment="1">
      <alignment horizontal="center"/>
    </xf>
    <xf numFmtId="0" fontId="3" fillId="0" borderId="4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1" xfId="0" applyFont="1" applyBorder="1" applyAlignment="1">
      <alignment horizontal="center" vertical="center"/>
    </xf>
    <xf numFmtId="0" fontId="23" fillId="3" borderId="13" xfId="0" applyFont="1" applyFill="1" applyBorder="1" applyAlignment="1">
      <alignment horizontal="center" vertical="center" wrapText="1"/>
    </xf>
    <xf numFmtId="0" fontId="42" fillId="0" borderId="25" xfId="0" applyFont="1" applyBorder="1" applyAlignment="1">
      <alignment horizontal="center" vertical="center" wrapText="1"/>
    </xf>
    <xf numFmtId="0" fontId="0" fillId="4" borderId="13" xfId="0" applyFill="1" applyBorder="1"/>
    <xf numFmtId="166" fontId="0" fillId="0" borderId="25" xfId="0" applyNumberFormat="1" applyBorder="1"/>
    <xf numFmtId="0" fontId="0" fillId="0" borderId="25" xfId="0" applyBorder="1"/>
    <xf numFmtId="4" fontId="0" fillId="0" borderId="25" xfId="0" applyNumberFormat="1" applyBorder="1"/>
    <xf numFmtId="166" fontId="3" fillId="0" borderId="65" xfId="0" applyNumberFormat="1" applyFont="1" applyBorder="1" applyAlignment="1">
      <alignment vertical="center"/>
    </xf>
    <xf numFmtId="0" fontId="0" fillId="5" borderId="0" xfId="0" applyFill="1" applyAlignment="1">
      <alignment horizontal="center"/>
    </xf>
    <xf numFmtId="0" fontId="36" fillId="5" borderId="0" xfId="0" applyFont="1" applyFill="1" applyAlignment="1">
      <alignment vertical="center"/>
    </xf>
    <xf numFmtId="0" fontId="0" fillId="5" borderId="0" xfId="0" applyFill="1"/>
    <xf numFmtId="0" fontId="14" fillId="0" borderId="0" xfId="0" applyFont="1" applyAlignment="1">
      <alignment horizontal="center"/>
    </xf>
    <xf numFmtId="0" fontId="14" fillId="0" borderId="0" xfId="0" applyFont="1" applyAlignment="1">
      <alignment horizontal="left"/>
    </xf>
    <xf numFmtId="0" fontId="18" fillId="0" borderId="24" xfId="0" applyFont="1" applyFill="1" applyBorder="1" applyAlignment="1">
      <alignment horizontal="center" vertical="center" wrapText="1"/>
    </xf>
    <xf numFmtId="164" fontId="3" fillId="0" borderId="33" xfId="0" applyNumberFormat="1" applyFont="1" applyBorder="1"/>
    <xf numFmtId="164" fontId="3" fillId="0" borderId="35" xfId="0" applyNumberFormat="1" applyFont="1" applyBorder="1"/>
    <xf numFmtId="0" fontId="9" fillId="0" borderId="66" xfId="0" applyFont="1" applyBorder="1" applyAlignment="1">
      <alignment horizontal="center" vertical="center"/>
    </xf>
    <xf numFmtId="0" fontId="9" fillId="0" borderId="42" xfId="0" applyFont="1" applyBorder="1" applyAlignment="1">
      <alignment horizontal="center" vertical="center"/>
    </xf>
    <xf numFmtId="0" fontId="9" fillId="0" borderId="22" xfId="0" applyFont="1" applyBorder="1" applyAlignment="1">
      <alignment horizontal="center" vertical="center"/>
    </xf>
    <xf numFmtId="164" fontId="3" fillId="0" borderId="0" xfId="0" applyNumberFormat="1" applyFont="1" applyBorder="1"/>
    <xf numFmtId="164" fontId="3" fillId="0" borderId="0" xfId="1" applyNumberFormat="1" applyFont="1" applyBorder="1"/>
    <xf numFmtId="164" fontId="20" fillId="0" borderId="0" xfId="1" applyNumberFormat="1" applyFont="1" applyBorder="1" applyAlignment="1">
      <alignment vertical="center"/>
    </xf>
    <xf numFmtId="164" fontId="45" fillId="0" borderId="66" xfId="0" applyNumberFormat="1" applyFont="1" applyBorder="1" applyAlignment="1">
      <alignment horizontal="center" vertical="center"/>
    </xf>
    <xf numFmtId="0" fontId="23" fillId="3" borderId="63"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46" fillId="0" borderId="0" xfId="0" applyFont="1" applyBorder="1" applyAlignment="1">
      <alignment horizontal="center" vertical="center"/>
    </xf>
    <xf numFmtId="0" fontId="46" fillId="0" borderId="0" xfId="0" applyFont="1"/>
    <xf numFmtId="0" fontId="31" fillId="0" borderId="0" xfId="10" applyFont="1"/>
    <xf numFmtId="0" fontId="29" fillId="0" borderId="0" xfId="0" applyFont="1"/>
    <xf numFmtId="0" fontId="1" fillId="0" borderId="0" xfId="0" applyFont="1" applyAlignment="1">
      <alignment horizontal="left"/>
    </xf>
    <xf numFmtId="0" fontId="48" fillId="0" borderId="0" xfId="0" applyFont="1"/>
    <xf numFmtId="0" fontId="49" fillId="0" borderId="0" xfId="10" applyFont="1"/>
    <xf numFmtId="0" fontId="40" fillId="0" borderId="0" xfId="0" applyFont="1" applyBorder="1" applyAlignment="1">
      <alignment horizontal="center" vertical="center"/>
    </xf>
    <xf numFmtId="164" fontId="40" fillId="0" borderId="0" xfId="1" applyNumberFormat="1" applyFont="1" applyBorder="1" applyAlignment="1">
      <alignment horizontal="center" vertical="center"/>
    </xf>
    <xf numFmtId="164" fontId="46" fillId="0" borderId="0" xfId="1" applyNumberFormat="1" applyFont="1" applyBorder="1" applyAlignment="1">
      <alignment horizontal="left" vertical="center"/>
    </xf>
    <xf numFmtId="0" fontId="0" fillId="0" borderId="0" xfId="0" applyFont="1" applyFill="1" applyAlignment="1">
      <alignment horizontal="center"/>
    </xf>
    <xf numFmtId="164" fontId="46" fillId="0" borderId="0" xfId="1" applyNumberFormat="1" applyFont="1" applyFill="1" applyBorder="1" applyAlignment="1">
      <alignment horizontal="left" vertical="center"/>
    </xf>
    <xf numFmtId="0" fontId="28" fillId="0" borderId="0" xfId="0" applyFont="1"/>
    <xf numFmtId="43" fontId="31" fillId="0" borderId="0" xfId="1" applyNumberFormat="1" applyFont="1" applyBorder="1" applyAlignment="1">
      <alignment horizontal="center" vertical="center"/>
    </xf>
    <xf numFmtId="0" fontId="51" fillId="0" borderId="0" xfId="0" applyFont="1" applyBorder="1" applyAlignment="1">
      <alignment horizontal="center" vertical="center"/>
    </xf>
    <xf numFmtId="164" fontId="51" fillId="0" borderId="0" xfId="1" applyNumberFormat="1" applyFont="1" applyBorder="1" applyAlignment="1">
      <alignment horizontal="center" vertical="center"/>
    </xf>
    <xf numFmtId="0" fontId="0" fillId="0" borderId="18" xfId="0" applyBorder="1"/>
    <xf numFmtId="0" fontId="0" fillId="0" borderId="58" xfId="0" applyBorder="1"/>
    <xf numFmtId="0" fontId="0" fillId="0" borderId="24" xfId="0" applyBorder="1" applyAlignment="1">
      <alignment horizontal="left" vertical="top" wrapText="1"/>
    </xf>
    <xf numFmtId="0" fontId="6" fillId="6" borderId="63"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6" xfId="0" applyFont="1" applyFill="1" applyBorder="1" applyAlignment="1">
      <alignment horizontal="center" vertical="center"/>
    </xf>
    <xf numFmtId="0" fontId="0" fillId="0" borderId="34" xfId="0" applyFont="1" applyBorder="1" applyAlignment="1">
      <alignment horizontal="left" vertical="center" wrapText="1"/>
    </xf>
    <xf numFmtId="0" fontId="0" fillId="0" borderId="0" xfId="0"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6" borderId="43" xfId="0" applyFont="1" applyFill="1" applyBorder="1" applyAlignment="1">
      <alignment horizontal="center" vertical="center"/>
    </xf>
    <xf numFmtId="0" fontId="41" fillId="6" borderId="61" xfId="0" applyFont="1" applyFill="1" applyBorder="1" applyAlignment="1">
      <alignment horizontal="center" vertical="center"/>
    </xf>
    <xf numFmtId="0" fontId="41" fillId="6" borderId="62" xfId="0" applyFont="1" applyFill="1" applyBorder="1" applyAlignment="1">
      <alignment horizontal="center" vertical="center"/>
    </xf>
    <xf numFmtId="0" fontId="44" fillId="0" borderId="0" xfId="0" applyFont="1" applyAlignment="1">
      <alignment horizontal="left" vertical="center" wrapText="1"/>
    </xf>
    <xf numFmtId="0" fontId="41" fillId="0" borderId="61" xfId="0" applyFont="1" applyBorder="1" applyAlignment="1">
      <alignment horizontal="center" vertical="center"/>
    </xf>
    <xf numFmtId="0" fontId="41" fillId="0" borderId="62" xfId="0" applyFont="1" applyBorder="1" applyAlignment="1">
      <alignment horizontal="center" vertical="center"/>
    </xf>
    <xf numFmtId="0" fontId="6"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left"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0" fontId="0" fillId="0" borderId="0" xfId="0" applyAlignment="1">
      <alignment horizontal="left" vertical="top" wrapText="1"/>
    </xf>
    <xf numFmtId="0" fontId="3" fillId="0" borderId="56" xfId="0" applyFont="1" applyBorder="1" applyAlignment="1">
      <alignment horizontal="center" vertical="center"/>
    </xf>
    <xf numFmtId="0" fontId="3" fillId="0" borderId="0" xfId="0" applyFont="1" applyAlignment="1">
      <alignment horizontal="center" vertical="center"/>
    </xf>
    <xf numFmtId="0" fontId="5" fillId="5" borderId="0" xfId="0" applyFont="1" applyFill="1" applyAlignment="1">
      <alignment horizontal="left" vertical="center"/>
    </xf>
    <xf numFmtId="0" fontId="6" fillId="0" borderId="0" xfId="0" applyFont="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22" fillId="0" borderId="32" xfId="0" applyFont="1" applyBorder="1" applyAlignment="1">
      <alignment horizontal="center" vertical="center" wrapText="1"/>
    </xf>
    <xf numFmtId="0" fontId="22" fillId="0" borderId="37" xfId="0" applyFont="1" applyBorder="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wrapText="1"/>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6" fillId="0" borderId="0" xfId="0" applyFont="1" applyAlignment="1">
      <alignment horizontal="left" vertical="center" wrapText="1"/>
    </xf>
    <xf numFmtId="0" fontId="13" fillId="0" borderId="0" xfId="0" applyFont="1" applyAlignment="1">
      <alignment horizontal="left" wrapText="1"/>
    </xf>
    <xf numFmtId="0" fontId="17" fillId="0" borderId="0" xfId="0" applyFont="1" applyAlignment="1">
      <alignment horizontal="left" vertical="center"/>
    </xf>
    <xf numFmtId="0" fontId="0" fillId="0" borderId="0" xfId="0" applyAlignment="1">
      <alignment wrapText="1"/>
    </xf>
    <xf numFmtId="0" fontId="26" fillId="0" borderId="0" xfId="0" applyFont="1" applyAlignment="1">
      <alignment horizontal="left" wrapText="1"/>
    </xf>
    <xf numFmtId="0" fontId="3" fillId="0" borderId="0" xfId="0" applyFont="1" applyAlignment="1">
      <alignment horizontal="left" wrapText="1"/>
    </xf>
    <xf numFmtId="0" fontId="22" fillId="0" borderId="30" xfId="0" applyFont="1" applyBorder="1" applyAlignment="1">
      <alignment horizontal="center" vertical="center" wrapText="1"/>
    </xf>
  </cellXfs>
  <cellStyles count="12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pa.gov/energy/greenhouse-gases-equivalencies-calculator-calculations-and-referenc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ia.gov/environment/emissions/co2_vol_mass.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eia.gov/environment/emissions/co2_vol_mass.php" TargetMode="External"/><Relationship Id="rId1" Type="http://schemas.openxmlformats.org/officeDocument/2006/relationships/hyperlink" Target="https://www.worldenergy.org/assets/downloads/PUB_Biofuels_Policies_Standards_and_Technologies_2010_Annex9_WEC.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advancedbiofuelsusa.info/2g-ethanol-overcoming-tech-glitches-competitive-with-oil-at-7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reenchemindustries.com/eastman-acetic-acid-increase-01-17/" TargetMode="External"/><Relationship Id="rId2" Type="http://schemas.openxmlformats.org/officeDocument/2006/relationships/hyperlink" Target="https://www.biofuelsdigest.com/bdigest/2017/05/18/ethanol-and-biodiesel-dropping-below-the-production-cost-of-fossil-fuels/" TargetMode="External"/><Relationship Id="rId1" Type="http://schemas.openxmlformats.org/officeDocument/2006/relationships/hyperlink" Target="https://advancedbiofuelsusa.info/2g-ethanol-overcoming-tech-glitches-competitive-with-oil-at-7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advancedbiofuelsusa.info/favorable-feedstock-costs-can-drop-cellulosic-sugar-prices/" TargetMode="External"/><Relationship Id="rId1" Type="http://schemas.openxmlformats.org/officeDocument/2006/relationships/hyperlink" Target="https://www.bio.org/sites/default/files/lignin-economic-lignocellulosic-fractionation_ali_manesh_0.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plasticsinsight.com/resin-intelligence/resin-prices/polylactic-acid/"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eia.gov/environment/emissions/co2_vol_mas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opLeftCell="A14" zoomScale="125" zoomScaleNormal="125" zoomScalePageLayoutView="125" workbookViewId="0">
      <selection activeCell="D37" sqref="D37"/>
    </sheetView>
  </sheetViews>
  <sheetFormatPr baseColWidth="10" defaultRowHeight="16"/>
  <cols>
    <col min="1" max="1" width="5.83203125" style="16" customWidth="1"/>
    <col min="2" max="2" width="13.83203125" customWidth="1"/>
    <col min="3" max="3" width="11.5" customWidth="1"/>
    <col min="7" max="8" width="11.83203125" customWidth="1"/>
    <col min="9" max="9" width="14.1640625" customWidth="1"/>
    <col min="10" max="10" width="12.83203125" customWidth="1"/>
    <col min="11" max="11" width="12.6640625" customWidth="1"/>
    <col min="12" max="12" width="11.6640625" customWidth="1"/>
    <col min="13" max="13" width="13" customWidth="1"/>
    <col min="14" max="14" width="14.1640625" customWidth="1"/>
    <col min="15" max="15" width="15" customWidth="1"/>
    <col min="16" max="16" width="23.83203125" customWidth="1"/>
  </cols>
  <sheetData>
    <row r="1" spans="1:16" ht="30" customHeight="1" thickBot="1">
      <c r="B1" s="353" t="s">
        <v>160</v>
      </c>
      <c r="C1" s="354"/>
      <c r="D1" s="354"/>
      <c r="E1" s="354"/>
      <c r="F1" s="354"/>
      <c r="G1" s="355"/>
      <c r="H1" s="20" t="s">
        <v>161</v>
      </c>
    </row>
    <row r="2" spans="1:16" s="20" customFormat="1" ht="41" customHeight="1" thickBot="1">
      <c r="A2" s="18"/>
      <c r="B2" s="357" t="s">
        <v>165</v>
      </c>
      <c r="C2" s="357"/>
      <c r="D2" s="357"/>
      <c r="E2" s="356" t="s">
        <v>168</v>
      </c>
      <c r="F2" s="356"/>
      <c r="G2" s="356"/>
      <c r="H2" s="356"/>
      <c r="I2" s="356"/>
      <c r="J2" s="356"/>
      <c r="K2" s="356"/>
      <c r="L2" s="356"/>
      <c r="M2" s="356"/>
    </row>
    <row r="3" spans="1:16" s="176" customFormat="1" ht="27" customHeight="1">
      <c r="A3" s="304"/>
      <c r="B3" s="358" t="s">
        <v>81</v>
      </c>
      <c r="C3" s="368"/>
      <c r="D3" s="368"/>
      <c r="E3" s="362" t="s">
        <v>75</v>
      </c>
      <c r="F3" s="363"/>
      <c r="G3" s="366" t="s">
        <v>75</v>
      </c>
      <c r="H3" s="367"/>
      <c r="I3" s="358" t="s">
        <v>103</v>
      </c>
      <c r="J3" s="359"/>
      <c r="K3" s="366" t="s">
        <v>75</v>
      </c>
      <c r="L3" s="366"/>
      <c r="M3" s="367"/>
      <c r="N3" s="369" t="s">
        <v>159</v>
      </c>
      <c r="O3" s="370"/>
    </row>
    <row r="4" spans="1:16" s="16" customFormat="1" ht="45" customHeight="1">
      <c r="A4" s="309" t="s">
        <v>69</v>
      </c>
      <c r="B4" s="209" t="s">
        <v>105</v>
      </c>
      <c r="C4" s="307" t="s">
        <v>82</v>
      </c>
      <c r="D4" s="307" t="s">
        <v>71</v>
      </c>
      <c r="E4" s="364" t="s">
        <v>74</v>
      </c>
      <c r="F4" s="365"/>
      <c r="G4" s="360" t="s">
        <v>45</v>
      </c>
      <c r="H4" s="361"/>
      <c r="I4" s="209" t="s">
        <v>106</v>
      </c>
      <c r="J4" s="308" t="s">
        <v>71</v>
      </c>
      <c r="K4" s="269" t="s">
        <v>44</v>
      </c>
      <c r="L4" s="360" t="s">
        <v>45</v>
      </c>
      <c r="M4" s="361"/>
      <c r="N4" s="310" t="s">
        <v>166</v>
      </c>
      <c r="O4" s="302" t="s">
        <v>167</v>
      </c>
      <c r="P4" s="352"/>
    </row>
    <row r="5" spans="1:16" s="16" customFormat="1" ht="30" customHeight="1">
      <c r="A5" s="305"/>
      <c r="B5" s="181"/>
      <c r="C5" s="174"/>
      <c r="D5" s="189" t="s">
        <v>72</v>
      </c>
      <c r="E5" s="192" t="s">
        <v>72</v>
      </c>
      <c r="F5" s="190" t="s">
        <v>76</v>
      </c>
      <c r="G5" s="189" t="s">
        <v>83</v>
      </c>
      <c r="H5" s="281" t="s">
        <v>94</v>
      </c>
      <c r="I5" s="214"/>
      <c r="J5" s="190" t="s">
        <v>76</v>
      </c>
      <c r="K5" s="270" t="s">
        <v>76</v>
      </c>
      <c r="L5" s="189" t="s">
        <v>83</v>
      </c>
      <c r="M5" s="281" t="s">
        <v>104</v>
      </c>
      <c r="N5" s="311" t="s">
        <v>157</v>
      </c>
      <c r="O5" s="279" t="s">
        <v>158</v>
      </c>
      <c r="P5" s="352"/>
    </row>
    <row r="6" spans="1:16" ht="9" customHeight="1">
      <c r="A6" s="283"/>
      <c r="B6" s="283"/>
      <c r="C6" s="284"/>
      <c r="D6" s="285"/>
      <c r="E6" s="286"/>
      <c r="F6" s="287"/>
      <c r="G6" s="285"/>
      <c r="H6" s="288"/>
      <c r="I6" s="283"/>
      <c r="J6" s="289"/>
      <c r="K6" s="290"/>
      <c r="L6" s="284"/>
      <c r="M6" s="291"/>
      <c r="N6" s="312"/>
      <c r="O6" s="291"/>
    </row>
    <row r="7" spans="1:16">
      <c r="A7" s="305">
        <v>1</v>
      </c>
      <c r="B7" s="215" t="s">
        <v>61</v>
      </c>
      <c r="C7" s="98" t="s">
        <v>65</v>
      </c>
      <c r="D7" s="222">
        <v>3469</v>
      </c>
      <c r="E7" s="223">
        <f>D7</f>
        <v>3469</v>
      </c>
      <c r="F7" s="224">
        <f>(E7*C34)/2000</f>
        <v>14.706758132625687</v>
      </c>
      <c r="G7" s="191" t="s">
        <v>120</v>
      </c>
      <c r="H7" s="225">
        <v>35</v>
      </c>
      <c r="I7" s="215" t="s">
        <v>137</v>
      </c>
      <c r="J7" s="216">
        <v>0.31</v>
      </c>
      <c r="K7" s="273">
        <v>0.184</v>
      </c>
      <c r="L7" s="282">
        <v>0.1</v>
      </c>
      <c r="M7" s="280">
        <v>6.8000000000000005E-2</v>
      </c>
      <c r="N7" s="313">
        <f>F7+K7</f>
        <v>14.890758132625686</v>
      </c>
      <c r="O7" s="225">
        <f>H7+M7</f>
        <v>35.067999999999998</v>
      </c>
    </row>
    <row r="8" spans="1:16">
      <c r="A8" s="305"/>
      <c r="B8" s="215"/>
      <c r="C8" s="98"/>
      <c r="D8" s="222"/>
      <c r="E8" s="223"/>
      <c r="F8" s="224"/>
      <c r="G8" s="180"/>
      <c r="H8" s="225"/>
      <c r="I8" s="215" t="s">
        <v>112</v>
      </c>
      <c r="J8" s="216"/>
      <c r="K8" s="273"/>
      <c r="L8" s="98"/>
      <c r="M8" s="99"/>
      <c r="N8" s="314"/>
      <c r="O8" s="99"/>
    </row>
    <row r="9" spans="1:16">
      <c r="A9" s="305"/>
      <c r="B9" s="182"/>
      <c r="C9" s="175"/>
      <c r="D9" s="234"/>
      <c r="E9" s="235"/>
      <c r="F9" s="236"/>
      <c r="G9" s="228"/>
      <c r="H9" s="237"/>
      <c r="I9" s="182" t="s">
        <v>138</v>
      </c>
      <c r="J9" s="227"/>
      <c r="K9" s="274"/>
      <c r="L9" s="175"/>
      <c r="M9" s="229"/>
      <c r="N9" s="314"/>
      <c r="O9" s="99"/>
    </row>
    <row r="10" spans="1:16" ht="9" customHeight="1">
      <c r="A10" s="283"/>
      <c r="B10" s="253"/>
      <c r="C10" s="255"/>
      <c r="D10" s="255"/>
      <c r="E10" s="257"/>
      <c r="F10" s="254"/>
      <c r="G10" s="258"/>
      <c r="H10" s="256"/>
      <c r="I10" s="253"/>
      <c r="J10" s="254"/>
      <c r="K10" s="271"/>
      <c r="L10" s="255"/>
      <c r="M10" s="256"/>
      <c r="N10" s="312"/>
      <c r="O10" s="291"/>
    </row>
    <row r="11" spans="1:16">
      <c r="A11" s="305">
        <v>2</v>
      </c>
      <c r="B11" s="219" t="s">
        <v>62</v>
      </c>
      <c r="C11" s="220" t="s">
        <v>63</v>
      </c>
      <c r="D11" s="220">
        <v>79.599999999999994</v>
      </c>
      <c r="E11" s="239">
        <f>D11</f>
        <v>79.599999999999994</v>
      </c>
      <c r="F11" s="240">
        <f>(E11*C37)/2000</f>
        <v>0.29229048787408218</v>
      </c>
      <c r="G11" s="241">
        <v>0.87849999999999995</v>
      </c>
      <c r="H11" s="231">
        <v>0.78</v>
      </c>
      <c r="I11" s="219" t="s">
        <v>129</v>
      </c>
      <c r="J11" s="242">
        <v>9.7000000000000003E-2</v>
      </c>
      <c r="K11" s="272">
        <v>9.7000000000000003E-2</v>
      </c>
      <c r="L11" s="232">
        <v>0.09</v>
      </c>
      <c r="M11" s="233">
        <v>2.5999999999999999E-2</v>
      </c>
      <c r="N11" s="315">
        <f>F11+K11</f>
        <v>0.38929048787408216</v>
      </c>
      <c r="O11" s="280">
        <f>H11+M11</f>
        <v>0.80600000000000005</v>
      </c>
    </row>
    <row r="12" spans="1:16">
      <c r="A12" s="305"/>
      <c r="B12" s="215" t="s">
        <v>64</v>
      </c>
      <c r="C12" s="98" t="s">
        <v>65</v>
      </c>
      <c r="D12" s="98"/>
      <c r="E12" s="238"/>
      <c r="F12" s="216"/>
      <c r="G12" s="180"/>
      <c r="H12" s="99"/>
      <c r="I12" s="215" t="s">
        <v>130</v>
      </c>
      <c r="J12" s="216"/>
      <c r="K12" s="275"/>
      <c r="L12" s="98"/>
      <c r="M12" s="99"/>
      <c r="N12" s="314"/>
      <c r="O12" s="99"/>
    </row>
    <row r="13" spans="1:16">
      <c r="A13" s="305"/>
      <c r="B13" s="182"/>
      <c r="C13" s="175"/>
      <c r="D13" s="175"/>
      <c r="E13" s="226"/>
      <c r="F13" s="227"/>
      <c r="G13" s="228"/>
      <c r="H13" s="229"/>
      <c r="I13" s="182" t="s">
        <v>131</v>
      </c>
      <c r="J13" s="227"/>
      <c r="K13" s="276"/>
      <c r="L13" s="175"/>
      <c r="M13" s="229"/>
      <c r="N13" s="314"/>
      <c r="O13" s="99"/>
    </row>
    <row r="14" spans="1:16" ht="10" customHeight="1">
      <c r="A14" s="283"/>
      <c r="B14" s="259"/>
      <c r="C14" s="260"/>
      <c r="D14" s="260"/>
      <c r="E14" s="261"/>
      <c r="F14" s="262"/>
      <c r="G14" s="263"/>
      <c r="H14" s="264"/>
      <c r="I14" s="253"/>
      <c r="J14" s="254"/>
      <c r="K14" s="271"/>
      <c r="L14" s="255"/>
      <c r="M14" s="256"/>
      <c r="N14" s="312"/>
      <c r="O14" s="291"/>
    </row>
    <row r="15" spans="1:16">
      <c r="A15" s="305">
        <v>3</v>
      </c>
      <c r="B15" s="183" t="s">
        <v>66</v>
      </c>
      <c r="C15" s="172" t="s">
        <v>67</v>
      </c>
      <c r="D15" s="172">
        <v>297</v>
      </c>
      <c r="E15" s="187">
        <f>D15</f>
        <v>297</v>
      </c>
      <c r="F15" s="188">
        <f>(E15*C35)/2000</f>
        <v>0.97816950000000003</v>
      </c>
      <c r="G15" s="218" t="s">
        <v>156</v>
      </c>
      <c r="H15" s="217">
        <f>2.5*F15</f>
        <v>2.4454237500000002</v>
      </c>
      <c r="I15" s="183"/>
      <c r="J15" s="173">
        <v>0</v>
      </c>
      <c r="K15" s="138">
        <v>0</v>
      </c>
      <c r="L15" s="172"/>
      <c r="M15" s="184">
        <v>0</v>
      </c>
      <c r="N15" s="315">
        <f>F15+K15</f>
        <v>0.97816950000000003</v>
      </c>
      <c r="O15" s="280">
        <f>H15+M15</f>
        <v>2.4454237500000002</v>
      </c>
    </row>
    <row r="16" spans="1:16" ht="10" customHeight="1">
      <c r="A16" s="283"/>
      <c r="B16" s="251"/>
      <c r="C16" s="252"/>
      <c r="D16" s="252"/>
      <c r="E16" s="265"/>
      <c r="F16" s="266"/>
      <c r="G16" s="267"/>
      <c r="H16" s="268"/>
      <c r="I16" s="253"/>
      <c r="J16" s="254"/>
      <c r="K16" s="271"/>
      <c r="L16" s="255"/>
      <c r="M16" s="256"/>
      <c r="N16" s="312"/>
      <c r="O16" s="291"/>
    </row>
    <row r="17" spans="1:15">
      <c r="A17" s="305">
        <v>4</v>
      </c>
      <c r="B17" s="219" t="s">
        <v>68</v>
      </c>
      <c r="C17" s="220" t="s">
        <v>63</v>
      </c>
      <c r="D17" s="220">
        <v>145</v>
      </c>
      <c r="E17" s="243">
        <f>D17</f>
        <v>145</v>
      </c>
      <c r="F17" s="244">
        <f>E17*C35/2000</f>
        <v>0.47755750000000002</v>
      </c>
      <c r="G17" s="245" t="s">
        <v>156</v>
      </c>
      <c r="H17" s="246">
        <f>2.5*F17</f>
        <v>1.19389375</v>
      </c>
      <c r="I17" s="219" t="s">
        <v>152</v>
      </c>
      <c r="J17" s="230">
        <v>0.15</v>
      </c>
      <c r="K17" s="277">
        <f>0.6*0.15</f>
        <v>0.09</v>
      </c>
      <c r="L17" s="250" t="s">
        <v>156</v>
      </c>
      <c r="M17" s="247">
        <f>K17/3</f>
        <v>0.03</v>
      </c>
      <c r="N17" s="315">
        <f>F17+K17</f>
        <v>0.56755750000000005</v>
      </c>
      <c r="O17" s="280">
        <f>H17+M17</f>
        <v>1.22389375</v>
      </c>
    </row>
    <row r="18" spans="1:15">
      <c r="A18" s="305"/>
      <c r="B18" s="215" t="s">
        <v>66</v>
      </c>
      <c r="C18" s="98" t="s">
        <v>67</v>
      </c>
      <c r="D18" s="98"/>
      <c r="E18" s="238"/>
      <c r="F18" s="216"/>
      <c r="G18" s="180"/>
      <c r="H18" s="99"/>
      <c r="I18" s="215" t="s">
        <v>153</v>
      </c>
      <c r="J18" s="216"/>
      <c r="K18" s="275"/>
      <c r="L18" s="98"/>
      <c r="M18" s="99"/>
      <c r="N18" s="314"/>
      <c r="O18" s="99"/>
    </row>
    <row r="19" spans="1:15">
      <c r="A19" s="305"/>
      <c r="B19" s="182"/>
      <c r="C19" s="175"/>
      <c r="D19" s="175"/>
      <c r="E19" s="226"/>
      <c r="F19" s="227"/>
      <c r="G19" s="228"/>
      <c r="H19" s="229"/>
      <c r="I19" s="182" t="s">
        <v>154</v>
      </c>
      <c r="J19" s="227"/>
      <c r="K19" s="276"/>
      <c r="L19" s="175"/>
      <c r="M19" s="229"/>
      <c r="N19" s="314"/>
      <c r="O19" s="99"/>
    </row>
    <row r="20" spans="1:15" ht="11" customHeight="1">
      <c r="A20" s="283"/>
      <c r="B20" s="253"/>
      <c r="C20" s="255"/>
      <c r="D20" s="255"/>
      <c r="E20" s="257"/>
      <c r="F20" s="254"/>
      <c r="G20" s="258"/>
      <c r="H20" s="256"/>
      <c r="I20" s="253"/>
      <c r="J20" s="254"/>
      <c r="K20" s="271"/>
      <c r="L20" s="255"/>
      <c r="M20" s="256"/>
      <c r="N20" s="312"/>
      <c r="O20" s="291"/>
    </row>
    <row r="21" spans="1:15">
      <c r="A21" s="305">
        <v>5</v>
      </c>
      <c r="B21" s="219" t="s">
        <v>70</v>
      </c>
      <c r="C21" s="220"/>
      <c r="D21" s="220">
        <v>0</v>
      </c>
      <c r="E21" s="149">
        <f>D21</f>
        <v>0</v>
      </c>
      <c r="F21" s="230">
        <v>0</v>
      </c>
      <c r="G21" s="221"/>
      <c r="H21" s="231">
        <v>0</v>
      </c>
      <c r="I21" s="219" t="s">
        <v>150</v>
      </c>
      <c r="J21" s="230">
        <v>2.75</v>
      </c>
      <c r="K21" s="277">
        <f>J21/2</f>
        <v>1.375</v>
      </c>
      <c r="L21" s="250" t="s">
        <v>156</v>
      </c>
      <c r="M21" s="246">
        <f>K21/3</f>
        <v>0.45833333333333331</v>
      </c>
      <c r="N21" s="315">
        <f>F21+K21</f>
        <v>1.375</v>
      </c>
      <c r="O21" s="280">
        <f>H21+M21</f>
        <v>0.45833333333333331</v>
      </c>
    </row>
    <row r="22" spans="1:15">
      <c r="A22" s="305"/>
      <c r="B22" s="182"/>
      <c r="C22" s="175"/>
      <c r="D22" s="175"/>
      <c r="E22" s="226"/>
      <c r="F22" s="227"/>
      <c r="G22" s="228"/>
      <c r="H22" s="229"/>
      <c r="I22" s="182" t="s">
        <v>151</v>
      </c>
      <c r="J22" s="227"/>
      <c r="K22" s="276"/>
      <c r="L22" s="175"/>
      <c r="M22" s="229"/>
      <c r="N22" s="314"/>
      <c r="O22" s="99"/>
    </row>
    <row r="23" spans="1:15" ht="10" customHeight="1">
      <c r="A23" s="283"/>
      <c r="B23" s="253"/>
      <c r="C23" s="255"/>
      <c r="D23" s="255"/>
      <c r="E23" s="257"/>
      <c r="F23" s="254"/>
      <c r="G23" s="258"/>
      <c r="H23" s="256"/>
      <c r="I23" s="253"/>
      <c r="J23" s="254"/>
      <c r="K23" s="271"/>
      <c r="L23" s="255"/>
      <c r="M23" s="256"/>
      <c r="N23" s="312"/>
      <c r="O23" s="291"/>
    </row>
    <row r="24" spans="1:15">
      <c r="A24" s="305">
        <v>6</v>
      </c>
      <c r="B24" s="219" t="s">
        <v>70</v>
      </c>
      <c r="C24" s="220"/>
      <c r="D24" s="220">
        <v>0</v>
      </c>
      <c r="E24" s="149">
        <f>D24</f>
        <v>0</v>
      </c>
      <c r="F24" s="230">
        <v>0</v>
      </c>
      <c r="G24" s="221"/>
      <c r="H24" s="231">
        <v>0</v>
      </c>
      <c r="I24" s="219" t="s">
        <v>162</v>
      </c>
      <c r="J24" s="230">
        <v>1.21</v>
      </c>
      <c r="K24" s="278">
        <v>1.21</v>
      </c>
      <c r="L24" s="250" t="s">
        <v>156</v>
      </c>
      <c r="M24" s="246">
        <f>K24/3</f>
        <v>0.40333333333333332</v>
      </c>
      <c r="N24" s="315">
        <f>F24+K24</f>
        <v>1.21</v>
      </c>
      <c r="O24" s="280">
        <f>H24+M24</f>
        <v>0.40333333333333332</v>
      </c>
    </row>
    <row r="25" spans="1:15">
      <c r="A25" s="305"/>
      <c r="B25" s="182"/>
      <c r="C25" s="175"/>
      <c r="D25" s="175"/>
      <c r="E25" s="226"/>
      <c r="F25" s="227"/>
      <c r="G25" s="228"/>
      <c r="H25" s="229"/>
      <c r="I25" s="182" t="s">
        <v>155</v>
      </c>
      <c r="J25" s="227"/>
      <c r="K25" s="276"/>
      <c r="L25" s="175"/>
      <c r="M25" s="229"/>
      <c r="N25" s="314"/>
      <c r="O25" s="99"/>
    </row>
    <row r="26" spans="1:15" ht="10" customHeight="1">
      <c r="A26" s="283"/>
      <c r="B26" s="253"/>
      <c r="C26" s="255"/>
      <c r="D26" s="255"/>
      <c r="E26" s="257"/>
      <c r="F26" s="254"/>
      <c r="G26" s="258"/>
      <c r="H26" s="256"/>
      <c r="I26" s="253"/>
      <c r="J26" s="254"/>
      <c r="K26" s="271"/>
      <c r="L26" s="255"/>
      <c r="M26" s="256"/>
      <c r="N26" s="312"/>
      <c r="O26" s="291"/>
    </row>
    <row r="27" spans="1:15">
      <c r="A27" s="305">
        <v>7</v>
      </c>
      <c r="B27" s="219" t="s">
        <v>92</v>
      </c>
      <c r="C27" s="220" t="s">
        <v>63</v>
      </c>
      <c r="D27" s="220">
        <v>462</v>
      </c>
      <c r="E27" s="149">
        <v>374</v>
      </c>
      <c r="F27" s="242">
        <f>(E27*C36)/2000</f>
        <v>1.236818</v>
      </c>
      <c r="G27" s="241">
        <v>0.76</v>
      </c>
      <c r="H27" s="231">
        <v>3.19</v>
      </c>
      <c r="I27" s="219" t="s">
        <v>163</v>
      </c>
      <c r="J27" s="242">
        <v>2.036</v>
      </c>
      <c r="K27" s="272">
        <f>J27*0.5*0.25</f>
        <v>0.2545</v>
      </c>
      <c r="L27" s="220"/>
      <c r="M27" s="231">
        <v>0.82</v>
      </c>
      <c r="N27" s="315">
        <f>F27+K27</f>
        <v>1.4913179999999999</v>
      </c>
      <c r="O27" s="280">
        <f>H27+M27</f>
        <v>4.01</v>
      </c>
    </row>
    <row r="28" spans="1:15">
      <c r="A28" s="305"/>
      <c r="B28" s="182" t="s">
        <v>93</v>
      </c>
      <c r="C28" s="175"/>
      <c r="D28" s="175"/>
      <c r="E28" s="226"/>
      <c r="F28" s="248"/>
      <c r="G28" s="249"/>
      <c r="H28" s="229"/>
      <c r="I28" s="182" t="s">
        <v>164</v>
      </c>
      <c r="J28" s="227"/>
      <c r="K28" s="276"/>
      <c r="L28" s="175"/>
      <c r="M28" s="229"/>
      <c r="N28" s="314"/>
      <c r="O28" s="99"/>
    </row>
    <row r="29" spans="1:15" ht="10" customHeight="1">
      <c r="A29" s="283"/>
      <c r="B29" s="259"/>
      <c r="C29" s="260"/>
      <c r="D29" s="260"/>
      <c r="E29" s="261"/>
      <c r="F29" s="262"/>
      <c r="G29" s="263"/>
      <c r="H29" s="264"/>
      <c r="I29" s="253"/>
      <c r="J29" s="254"/>
      <c r="K29" s="271"/>
      <c r="L29" s="255"/>
      <c r="M29" s="256"/>
      <c r="N29" s="312"/>
      <c r="O29" s="291"/>
    </row>
    <row r="30" spans="1:15" s="1" customFormat="1" ht="24" customHeight="1" thickBot="1">
      <c r="A30" s="306"/>
      <c r="B30" s="292" t="s">
        <v>73</v>
      </c>
      <c r="C30" s="293"/>
      <c r="D30" s="294">
        <f>SUM(D7:D29)</f>
        <v>4452.6000000000004</v>
      </c>
      <c r="E30" s="295">
        <f>SUM(E7:E29)</f>
        <v>4364.6000000000004</v>
      </c>
      <c r="F30" s="296">
        <f>SUM(F7:F29)</f>
        <v>17.69159362049977</v>
      </c>
      <c r="G30" s="297"/>
      <c r="H30" s="298">
        <f>SUM(H6:H29)</f>
        <v>42.609317500000003</v>
      </c>
      <c r="I30" s="292"/>
      <c r="J30" s="299">
        <f>SUM(J7:J27)</f>
        <v>6.552999999999999</v>
      </c>
      <c r="K30" s="299">
        <f>SUM(K7:K27)</f>
        <v>3.2105000000000001</v>
      </c>
      <c r="L30" s="293"/>
      <c r="M30" s="300">
        <f>SUM(M7:M28)</f>
        <v>1.8056666666666668</v>
      </c>
      <c r="N30" s="316">
        <f>SUM(N7:N29)</f>
        <v>20.90209362049977</v>
      </c>
      <c r="O30" s="301">
        <f>SUM(O7:O29)</f>
        <v>44.41498416666667</v>
      </c>
    </row>
    <row r="31" spans="1:15">
      <c r="D31" s="168"/>
      <c r="E31" s="168"/>
      <c r="L31" s="1"/>
    </row>
    <row r="32" spans="1:15">
      <c r="B32" s="15" t="s">
        <v>177</v>
      </c>
      <c r="E32" s="1" t="s">
        <v>174</v>
      </c>
      <c r="L32" s="197"/>
    </row>
    <row r="33" spans="1:11" ht="18">
      <c r="B33" s="320" t="s">
        <v>176</v>
      </c>
      <c r="C33" s="321" t="s">
        <v>179</v>
      </c>
      <c r="E33" t="s">
        <v>169</v>
      </c>
    </row>
    <row r="34" spans="1:11">
      <c r="B34" s="116" t="s">
        <v>61</v>
      </c>
      <c r="C34" s="171">
        <v>8.4789611603492006</v>
      </c>
      <c r="E34" s="186" t="s">
        <v>107</v>
      </c>
    </row>
    <row r="35" spans="1:11" ht="18">
      <c r="B35" s="116" t="s">
        <v>78</v>
      </c>
      <c r="C35">
        <v>6.5869999999999997</v>
      </c>
      <c r="E35" s="303" t="s">
        <v>170</v>
      </c>
    </row>
    <row r="36" spans="1:11" ht="18">
      <c r="B36" s="116" t="s">
        <v>80</v>
      </c>
      <c r="C36">
        <v>6.6139999999999999</v>
      </c>
      <c r="E36" s="303" t="s">
        <v>171</v>
      </c>
      <c r="K36" t="s">
        <v>173</v>
      </c>
    </row>
    <row r="37" spans="1:11" ht="18">
      <c r="B37" s="116" t="s">
        <v>62</v>
      </c>
      <c r="C37" s="171">
        <v>7.3439821073890004</v>
      </c>
      <c r="E37" s="303" t="s">
        <v>172</v>
      </c>
    </row>
    <row r="38" spans="1:11">
      <c r="B38" s="116" t="s">
        <v>67</v>
      </c>
      <c r="C38" s="171">
        <v>6.0730000000000004</v>
      </c>
      <c r="E38" s="176" t="s">
        <v>175</v>
      </c>
    </row>
    <row r="39" spans="1:11">
      <c r="B39" s="185"/>
    </row>
    <row r="40" spans="1:11" s="319" customFormat="1">
      <c r="A40" s="317"/>
      <c r="B40" s="318" t="s">
        <v>118</v>
      </c>
    </row>
    <row r="41" spans="1:11" s="319" customFormat="1">
      <c r="A41" s="317"/>
      <c r="B41" s="318"/>
    </row>
    <row r="42" spans="1:11" s="319" customFormat="1">
      <c r="A42" s="317"/>
      <c r="B42" s="318" t="s">
        <v>119</v>
      </c>
    </row>
  </sheetData>
  <mergeCells count="13">
    <mergeCell ref="P4:P5"/>
    <mergeCell ref="B1:G1"/>
    <mergeCell ref="E2:M2"/>
    <mergeCell ref="B2:D2"/>
    <mergeCell ref="I3:J3"/>
    <mergeCell ref="L4:M4"/>
    <mergeCell ref="E3:F3"/>
    <mergeCell ref="E4:F4"/>
    <mergeCell ref="G3:H3"/>
    <mergeCell ref="G4:H4"/>
    <mergeCell ref="B3:D3"/>
    <mergeCell ref="N3:O3"/>
    <mergeCell ref="K3:M3"/>
  </mergeCells>
  <hyperlinks>
    <hyperlink ref="E34" r:id="rId1" location="miles" xr:uid="{00000000-0004-0000-0000-000000000000}"/>
  </hyperlinks>
  <pageMargins left="0.75" right="0.75" top="1" bottom="1" header="0.5" footer="0.5"/>
  <pageSetup orientation="portrait" horizontalDpi="4294967292" verticalDpi="4294967292"/>
  <ignoredErrors>
    <ignoredError sqref="D30" emptyCellReferenc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43"/>
  <sheetViews>
    <sheetView tabSelected="1" topLeftCell="B1" zoomScale="150" zoomScaleNormal="150" zoomScalePageLayoutView="150" workbookViewId="0">
      <selection activeCell="E32" sqref="E32"/>
    </sheetView>
  </sheetViews>
  <sheetFormatPr baseColWidth="10" defaultRowHeight="16"/>
  <cols>
    <col min="1" max="1" width="5.1640625" customWidth="1"/>
    <col min="4" max="6" width="15.5" customWidth="1"/>
    <col min="7" max="7" width="16.83203125" customWidth="1"/>
    <col min="8" max="10" width="15.5" customWidth="1"/>
    <col min="11" max="11" width="11.5" bestFit="1" customWidth="1"/>
    <col min="12" max="12" width="11.6640625" bestFit="1" customWidth="1"/>
  </cols>
  <sheetData>
    <row r="2" spans="2:12" ht="21">
      <c r="B2" s="374" t="s">
        <v>183</v>
      </c>
      <c r="C2" s="374"/>
      <c r="D2" s="374"/>
      <c r="E2" s="374"/>
      <c r="F2" s="374"/>
      <c r="G2" s="374"/>
    </row>
    <row r="3" spans="2:12" ht="43" customHeight="1">
      <c r="B3" s="375" t="s">
        <v>180</v>
      </c>
      <c r="C3" s="375"/>
      <c r="D3" s="376" t="s">
        <v>181</v>
      </c>
      <c r="E3" s="376"/>
      <c r="F3" s="376"/>
      <c r="G3" s="376"/>
    </row>
    <row r="4" spans="2:12" ht="96" customHeight="1" thickBot="1">
      <c r="B4" s="371" t="s">
        <v>182</v>
      </c>
      <c r="C4" s="371"/>
      <c r="D4" s="371"/>
      <c r="E4" s="371"/>
      <c r="F4" s="371"/>
      <c r="G4" s="371"/>
      <c r="H4" s="371"/>
      <c r="I4" s="371"/>
      <c r="J4" s="371"/>
      <c r="K4" s="371"/>
      <c r="L4" s="371"/>
    </row>
    <row r="5" spans="2:12" ht="22" thickBot="1">
      <c r="B5" s="30"/>
      <c r="C5" s="30"/>
      <c r="D5" s="30"/>
      <c r="E5" s="377" t="s">
        <v>51</v>
      </c>
      <c r="F5" s="379"/>
      <c r="G5" s="30"/>
      <c r="H5" s="377" t="s">
        <v>51</v>
      </c>
      <c r="I5" s="378"/>
      <c r="J5" s="379"/>
      <c r="K5" s="372" t="s">
        <v>134</v>
      </c>
      <c r="L5" s="373"/>
    </row>
    <row r="6" spans="2:12" ht="58" thickBot="1">
      <c r="B6" s="39" t="s">
        <v>9</v>
      </c>
      <c r="C6" s="73" t="s">
        <v>46</v>
      </c>
      <c r="D6" s="79" t="s">
        <v>185</v>
      </c>
      <c r="E6" s="80" t="s">
        <v>44</v>
      </c>
      <c r="F6" s="81" t="s">
        <v>45</v>
      </c>
      <c r="G6" s="79" t="s">
        <v>12</v>
      </c>
      <c r="H6" s="80" t="s">
        <v>44</v>
      </c>
      <c r="I6" s="80" t="s">
        <v>44</v>
      </c>
      <c r="J6" s="81" t="s">
        <v>45</v>
      </c>
      <c r="K6" s="332" t="s">
        <v>132</v>
      </c>
      <c r="L6" s="333" t="s">
        <v>133</v>
      </c>
    </row>
    <row r="7" spans="2:12" s="8" customFormat="1" ht="32">
      <c r="B7" s="71"/>
      <c r="C7" s="70"/>
      <c r="D7" s="331" t="s">
        <v>186</v>
      </c>
      <c r="E7" s="212" t="s">
        <v>125</v>
      </c>
      <c r="F7" s="213" t="s">
        <v>121</v>
      </c>
      <c r="G7" s="71"/>
      <c r="H7" s="72" t="s">
        <v>50</v>
      </c>
      <c r="I7" s="72" t="s">
        <v>125</v>
      </c>
      <c r="J7" s="82" t="s">
        <v>121</v>
      </c>
      <c r="K7" s="322" t="s">
        <v>125</v>
      </c>
      <c r="L7" s="82" t="s">
        <v>121</v>
      </c>
    </row>
    <row r="8" spans="2:12">
      <c r="B8" s="36">
        <v>2021</v>
      </c>
      <c r="C8" s="74">
        <v>0</v>
      </c>
      <c r="D8" s="83">
        <v>0</v>
      </c>
      <c r="E8" s="38"/>
      <c r="F8" s="84"/>
      <c r="G8" s="97">
        <v>0</v>
      </c>
      <c r="H8" s="98">
        <v>0</v>
      </c>
      <c r="I8" s="98"/>
      <c r="J8" s="99">
        <v>0</v>
      </c>
      <c r="K8" s="215"/>
      <c r="L8" s="99"/>
    </row>
    <row r="9" spans="2:12">
      <c r="B9" s="35">
        <v>2022</v>
      </c>
      <c r="C9" s="75">
        <v>1</v>
      </c>
      <c r="D9" s="85">
        <v>5509608</v>
      </c>
      <c r="E9" s="11"/>
      <c r="F9" s="86"/>
      <c r="G9" s="100">
        <f>18504517/8.48</f>
        <v>2182136.4386792453</v>
      </c>
      <c r="H9" s="98"/>
      <c r="I9" s="98"/>
      <c r="J9" s="99"/>
      <c r="K9" s="215"/>
      <c r="L9" s="99"/>
    </row>
    <row r="10" spans="2:12">
      <c r="B10" s="34">
        <v>2023</v>
      </c>
      <c r="C10" s="76">
        <v>1</v>
      </c>
      <c r="D10" s="87">
        <v>5509608</v>
      </c>
      <c r="E10" s="9"/>
      <c r="F10" s="88"/>
      <c r="G10" s="101">
        <f t="shared" ref="G10:G11" si="0">18504517/8.48</f>
        <v>2182136.4386792453</v>
      </c>
      <c r="H10" s="98"/>
      <c r="I10" s="98"/>
      <c r="J10" s="99"/>
      <c r="K10" s="215"/>
      <c r="L10" s="99"/>
    </row>
    <row r="11" spans="2:12">
      <c r="B11" s="35">
        <v>2024</v>
      </c>
      <c r="C11" s="75">
        <v>1</v>
      </c>
      <c r="D11" s="85">
        <v>5509608</v>
      </c>
      <c r="E11" s="11"/>
      <c r="F11" s="86"/>
      <c r="G11" s="100">
        <f t="shared" si="0"/>
        <v>2182136.4386792453</v>
      </c>
      <c r="H11" s="98"/>
      <c r="I11" s="98"/>
      <c r="J11" s="99"/>
      <c r="K11" s="215"/>
      <c r="L11" s="99"/>
    </row>
    <row r="12" spans="2:12">
      <c r="B12" s="34">
        <v>2025</v>
      </c>
      <c r="C12" s="76">
        <v>2</v>
      </c>
      <c r="D12" s="89">
        <f>5509608+2300976+1692672</f>
        <v>9503256</v>
      </c>
      <c r="E12" s="7"/>
      <c r="F12" s="90"/>
      <c r="G12" s="102">
        <f>(253368717+18504517)/8.48</f>
        <v>32060522.877358489</v>
      </c>
      <c r="H12" s="98"/>
      <c r="I12" s="98"/>
      <c r="J12" s="99"/>
      <c r="K12" s="215"/>
      <c r="L12" s="99"/>
    </row>
    <row r="13" spans="2:12">
      <c r="B13" s="35">
        <v>2026</v>
      </c>
      <c r="C13" s="75">
        <v>2</v>
      </c>
      <c r="D13" s="91">
        <f t="shared" ref="D13:D14" si="1">5509608+2300976+1692672</f>
        <v>9503256</v>
      </c>
      <c r="E13" s="12"/>
      <c r="F13" s="92"/>
      <c r="G13" s="103">
        <f t="shared" ref="G13:G14" si="2">(253368717+18504517)/8.48</f>
        <v>32060522.877358489</v>
      </c>
      <c r="H13" s="98"/>
      <c r="I13" s="98"/>
      <c r="J13" s="99"/>
      <c r="K13" s="215"/>
      <c r="L13" s="99"/>
    </row>
    <row r="14" spans="2:12">
      <c r="B14" s="34">
        <v>2027</v>
      </c>
      <c r="C14" s="76">
        <v>2</v>
      </c>
      <c r="D14" s="89">
        <f t="shared" si="1"/>
        <v>9503256</v>
      </c>
      <c r="E14" s="7"/>
      <c r="F14" s="90"/>
      <c r="G14" s="102">
        <f t="shared" si="2"/>
        <v>32060522.877358489</v>
      </c>
      <c r="H14" s="98"/>
      <c r="I14" s="98"/>
      <c r="J14" s="99"/>
      <c r="K14" s="215"/>
      <c r="L14" s="99"/>
    </row>
    <row r="15" spans="2:12">
      <c r="B15" s="35">
        <v>2028</v>
      </c>
      <c r="C15" s="75">
        <v>4</v>
      </c>
      <c r="D15" s="91">
        <f>5509608+2300976+1692672+4601952+3385344</f>
        <v>17490552</v>
      </c>
      <c r="E15" s="12"/>
      <c r="F15" s="92"/>
      <c r="G15" s="104">
        <f>(506730138+253368717+18504517)/8.48</f>
        <v>91816435.377358481</v>
      </c>
      <c r="H15" s="98"/>
      <c r="I15" s="98"/>
      <c r="J15" s="99"/>
      <c r="K15" s="215"/>
      <c r="L15" s="99"/>
    </row>
    <row r="16" spans="2:12">
      <c r="B16" s="34">
        <v>2029</v>
      </c>
      <c r="C16" s="76">
        <v>4</v>
      </c>
      <c r="D16" s="89">
        <f>5509608+2300976+1692672+4601952+3385344</f>
        <v>17490552</v>
      </c>
      <c r="E16" s="7"/>
      <c r="F16" s="90"/>
      <c r="G16" s="105">
        <f>(506730138+253368717+18504517)/8.48</f>
        <v>91816435.377358481</v>
      </c>
      <c r="H16" s="98"/>
      <c r="I16" s="98"/>
      <c r="J16" s="99"/>
      <c r="K16" s="215"/>
      <c r="L16" s="99"/>
    </row>
    <row r="17" spans="1:12" ht="17" thickBot="1">
      <c r="B17" s="57">
        <v>2030</v>
      </c>
      <c r="C17" s="77">
        <v>6</v>
      </c>
      <c r="D17" s="93">
        <f>5509608+2300976+1692672+4601952+3385344+4601952+3385344</f>
        <v>25477848</v>
      </c>
      <c r="E17" s="58"/>
      <c r="F17" s="94"/>
      <c r="G17" s="106">
        <f>(506730138+506730138+253368717+18504517)/8.48</f>
        <v>151572347.8773585</v>
      </c>
      <c r="H17" s="98"/>
      <c r="I17" s="98"/>
      <c r="J17" s="99"/>
      <c r="K17" s="215"/>
      <c r="L17" s="99"/>
    </row>
    <row r="18" spans="1:12" ht="17" thickBot="1">
      <c r="B18" s="17" t="s">
        <v>47</v>
      </c>
      <c r="C18" s="78">
        <v>6</v>
      </c>
      <c r="D18" s="95">
        <f t="shared" ref="D18:G18" si="3">SUM(D8:D17)</f>
        <v>105497544</v>
      </c>
      <c r="E18" s="29"/>
      <c r="F18" s="96"/>
      <c r="G18" s="107">
        <f t="shared" si="3"/>
        <v>437933196.58018869</v>
      </c>
      <c r="H18" s="98"/>
      <c r="I18" s="98"/>
      <c r="J18" s="99"/>
      <c r="K18" s="215"/>
      <c r="L18" s="99"/>
    </row>
    <row r="19" spans="1:12">
      <c r="B19" s="325" t="s">
        <v>136</v>
      </c>
      <c r="C19" s="67"/>
      <c r="D19" s="108">
        <f>D17*20</f>
        <v>509556960</v>
      </c>
      <c r="E19" s="68"/>
      <c r="F19" s="110"/>
      <c r="G19" s="108">
        <f>G17*20</f>
        <v>3031446957.5471697</v>
      </c>
      <c r="H19" s="98"/>
      <c r="I19" s="98"/>
      <c r="J19" s="99"/>
      <c r="K19" s="215"/>
      <c r="L19" s="99"/>
    </row>
    <row r="20" spans="1:12" ht="17" thickBot="1">
      <c r="B20" s="326" t="s">
        <v>48</v>
      </c>
      <c r="C20" s="327"/>
      <c r="D20" s="109">
        <f>D18+D19</f>
        <v>615054504</v>
      </c>
      <c r="E20" s="111">
        <f>D20*0.5*E25/2000+D20*0.2*E26/2000+D20*0.3*E27/2000</f>
        <v>184208.82394799998</v>
      </c>
      <c r="F20" s="112">
        <f>(E20*2000/I36)*22.4*0.1/2000</f>
        <v>67944.63455351883</v>
      </c>
      <c r="G20" s="109">
        <f>G18+G19</f>
        <v>3469380154.1273584</v>
      </c>
      <c r="H20" s="207">
        <f>G20</f>
        <v>3469380154.1273584</v>
      </c>
      <c r="I20" s="207">
        <f>H20*I35/2000</f>
        <v>14708369.788666097</v>
      </c>
      <c r="J20" s="208">
        <f>(22.4*G20*0.9)/2000</f>
        <v>34971351.953603767</v>
      </c>
      <c r="K20" s="323">
        <f>E20+I20</f>
        <v>14892578.612614097</v>
      </c>
      <c r="L20" s="324">
        <f>F20+J20</f>
        <v>35039296.588157289</v>
      </c>
    </row>
    <row r="21" spans="1:12">
      <c r="B21" s="67"/>
      <c r="C21" s="67"/>
      <c r="D21" s="68"/>
      <c r="E21" s="68"/>
      <c r="F21" s="68"/>
      <c r="G21" s="68"/>
      <c r="H21" s="328"/>
      <c r="I21" s="328"/>
      <c r="J21" s="329"/>
      <c r="K21" s="328"/>
      <c r="L21" s="328"/>
    </row>
    <row r="22" spans="1:12">
      <c r="B22" s="330" t="s">
        <v>184</v>
      </c>
      <c r="C22" s="67"/>
      <c r="D22" s="68"/>
      <c r="E22" s="68"/>
      <c r="F22" s="68"/>
      <c r="G22" s="113" t="s">
        <v>209</v>
      </c>
    </row>
    <row r="23" spans="1:12" ht="10" customHeight="1">
      <c r="B23" s="330"/>
      <c r="C23" s="67"/>
      <c r="D23" s="68"/>
      <c r="E23" s="68"/>
      <c r="F23" s="68"/>
      <c r="G23" s="113"/>
    </row>
    <row r="24" spans="1:12">
      <c r="B24" s="334" t="s">
        <v>187</v>
      </c>
      <c r="C24" s="334" t="s">
        <v>188</v>
      </c>
      <c r="D24" s="335" t="s">
        <v>202</v>
      </c>
      <c r="E24" s="113" t="s">
        <v>203</v>
      </c>
      <c r="F24" s="344"/>
      <c r="G24" s="204"/>
      <c r="H24" s="204"/>
    </row>
    <row r="25" spans="1:12" ht="18">
      <c r="A25" s="16"/>
      <c r="B25" s="202" t="s">
        <v>137</v>
      </c>
      <c r="C25" s="201" t="s">
        <v>144</v>
      </c>
      <c r="D25" s="204" t="s">
        <v>140</v>
      </c>
      <c r="E25" s="206">
        <v>0.62</v>
      </c>
      <c r="F25" s="204" t="s">
        <v>147</v>
      </c>
      <c r="G25" s="203" t="s">
        <v>49</v>
      </c>
    </row>
    <row r="26" spans="1:12">
      <c r="A26" s="16"/>
      <c r="B26" s="205" t="s">
        <v>138</v>
      </c>
      <c r="C26" s="201" t="s">
        <v>139</v>
      </c>
      <c r="D26" s="204" t="s">
        <v>141</v>
      </c>
      <c r="E26" s="206">
        <v>0.32</v>
      </c>
      <c r="F26" s="204" t="s">
        <v>148</v>
      </c>
      <c r="G26" s="203" t="s">
        <v>53</v>
      </c>
    </row>
    <row r="27" spans="1:12" ht="18">
      <c r="A27" s="16"/>
      <c r="B27" s="205" t="s">
        <v>112</v>
      </c>
      <c r="C27" s="201" t="s">
        <v>145</v>
      </c>
      <c r="D27" s="204" t="s">
        <v>142</v>
      </c>
      <c r="E27" s="206">
        <v>0.75</v>
      </c>
      <c r="F27" s="204" t="s">
        <v>149</v>
      </c>
      <c r="G27" s="338" t="s">
        <v>52</v>
      </c>
    </row>
    <row r="28" spans="1:12">
      <c r="B28" s="203" t="s">
        <v>205</v>
      </c>
      <c r="C28" s="177"/>
      <c r="G28" s="203" t="s">
        <v>192</v>
      </c>
    </row>
    <row r="29" spans="1:12">
      <c r="B29" t="s">
        <v>210</v>
      </c>
      <c r="C29" s="177"/>
    </row>
    <row r="30" spans="1:12">
      <c r="B30" s="139" t="s">
        <v>204</v>
      </c>
      <c r="C30" s="177"/>
    </row>
    <row r="31" spans="1:12">
      <c r="B31" t="s">
        <v>206</v>
      </c>
      <c r="F31" s="204"/>
      <c r="G31" s="343" t="s">
        <v>196</v>
      </c>
    </row>
    <row r="32" spans="1:12">
      <c r="C32" s="206"/>
      <c r="D32" s="204"/>
      <c r="E32" s="204"/>
      <c r="F32" s="204"/>
      <c r="G32" s="114" t="s">
        <v>198</v>
      </c>
    </row>
    <row r="33" spans="2:9">
      <c r="B33" s="345" t="s">
        <v>196</v>
      </c>
      <c r="C33" s="348"/>
      <c r="D33" s="349"/>
      <c r="E33" s="204"/>
      <c r="F33" s="204"/>
      <c r="G33" s="114" t="s">
        <v>199</v>
      </c>
    </row>
    <row r="34" spans="2:9">
      <c r="B34" s="203" t="s">
        <v>207</v>
      </c>
      <c r="C34" s="206"/>
      <c r="D34" s="347"/>
      <c r="E34" s="204"/>
      <c r="F34" s="204"/>
      <c r="G34" s="346" t="s">
        <v>201</v>
      </c>
      <c r="H34" s="169" t="s">
        <v>195</v>
      </c>
      <c r="I34" s="170" t="s">
        <v>178</v>
      </c>
    </row>
    <row r="35" spans="2:9" s="339" customFormat="1">
      <c r="C35" s="341"/>
      <c r="D35" s="342"/>
      <c r="E35" s="206"/>
      <c r="F35" s="342"/>
      <c r="H35" s="139" t="s">
        <v>61</v>
      </c>
      <c r="I35" s="171">
        <v>8.4789611603492006</v>
      </c>
    </row>
    <row r="36" spans="2:9" s="339" customFormat="1">
      <c r="B36"/>
      <c r="C36" s="341"/>
      <c r="D36" s="342"/>
      <c r="E36" s="342"/>
      <c r="F36" s="342"/>
      <c r="G36" s="114"/>
      <c r="H36" t="s">
        <v>67</v>
      </c>
      <c r="I36" s="200">
        <v>6.0730000000000004</v>
      </c>
    </row>
    <row r="37" spans="2:9" s="339" customFormat="1">
      <c r="B37" s="343" t="s">
        <v>200</v>
      </c>
      <c r="C37" s="341"/>
      <c r="D37" s="342"/>
      <c r="E37" s="342"/>
      <c r="F37" s="342"/>
      <c r="G37" s="343" t="s">
        <v>200</v>
      </c>
    </row>
    <row r="38" spans="2:9" s="339" customFormat="1">
      <c r="B38" s="336" t="s">
        <v>190</v>
      </c>
      <c r="C38" s="341"/>
      <c r="D38" s="342"/>
      <c r="E38" s="342"/>
      <c r="F38" s="342"/>
      <c r="G38" t="s">
        <v>194</v>
      </c>
    </row>
    <row r="39" spans="2:9" s="339" customFormat="1">
      <c r="B39" s="336" t="s">
        <v>189</v>
      </c>
      <c r="C39" s="341"/>
      <c r="D39" s="342"/>
      <c r="E39" s="342"/>
      <c r="F39" s="342"/>
      <c r="G39" s="203" t="s">
        <v>193</v>
      </c>
    </row>
    <row r="40" spans="2:9" s="339" customFormat="1" ht="15" customHeight="1">
      <c r="B40" s="337" t="s">
        <v>191</v>
      </c>
      <c r="C40" s="341"/>
      <c r="D40" s="342"/>
      <c r="E40" s="342"/>
      <c r="F40" s="342"/>
      <c r="G40" s="114"/>
    </row>
    <row r="41" spans="2:9">
      <c r="B41" s="340" t="s">
        <v>143</v>
      </c>
      <c r="G41" t="s">
        <v>197</v>
      </c>
    </row>
    <row r="42" spans="2:9" ht="19">
      <c r="B42" s="41"/>
      <c r="C42" s="41"/>
      <c r="D42" s="41"/>
      <c r="E42" s="41"/>
      <c r="F42" s="41"/>
      <c r="G42" s="3" t="s">
        <v>95</v>
      </c>
    </row>
    <row r="43" spans="2:9" ht="19">
      <c r="D43" s="31"/>
      <c r="E43" s="31"/>
      <c r="F43" s="31"/>
    </row>
  </sheetData>
  <mergeCells count="7">
    <mergeCell ref="B4:L4"/>
    <mergeCell ref="K5:L5"/>
    <mergeCell ref="B2:G2"/>
    <mergeCell ref="B3:C3"/>
    <mergeCell ref="D3:G3"/>
    <mergeCell ref="H5:J5"/>
    <mergeCell ref="E5:F5"/>
  </mergeCells>
  <hyperlinks>
    <hyperlink ref="G42" r:id="rId1" xr:uid="{00000000-0004-0000-01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topLeftCell="A12" zoomScale="125" zoomScaleNormal="125" zoomScalePageLayoutView="125" workbookViewId="0">
      <selection activeCell="D2" sqref="D2"/>
    </sheetView>
  </sheetViews>
  <sheetFormatPr baseColWidth="10" defaultRowHeight="16"/>
  <cols>
    <col min="4" max="9" width="19.6640625" customWidth="1"/>
  </cols>
  <sheetData>
    <row r="1" spans="2:11" ht="19">
      <c r="B1" s="383" t="s">
        <v>208</v>
      </c>
      <c r="C1" s="383"/>
      <c r="D1" s="383"/>
      <c r="E1" s="383"/>
      <c r="F1" s="383"/>
      <c r="G1" s="383"/>
    </row>
    <row r="3" spans="2:11" ht="53" customHeight="1" thickBot="1">
      <c r="B3" s="384" t="s">
        <v>36</v>
      </c>
      <c r="C3" s="375"/>
      <c r="D3" s="389" t="s">
        <v>37</v>
      </c>
      <c r="E3" s="389"/>
      <c r="F3" s="389"/>
      <c r="G3" s="389"/>
      <c r="H3" s="389"/>
      <c r="I3" s="389"/>
    </row>
    <row r="4" spans="2:11" ht="22" thickBot="1">
      <c r="B4" s="30"/>
      <c r="C4" s="30"/>
      <c r="D4" s="30"/>
      <c r="E4" s="387" t="s">
        <v>51</v>
      </c>
      <c r="F4" s="388"/>
      <c r="G4" s="30"/>
      <c r="H4" s="387" t="s">
        <v>51</v>
      </c>
      <c r="I4" s="388"/>
      <c r="J4" s="381" t="s">
        <v>134</v>
      </c>
      <c r="K4" s="382"/>
    </row>
    <row r="5" spans="2:11" ht="30" customHeight="1" thickBot="1">
      <c r="B5" s="385"/>
      <c r="C5" s="386"/>
      <c r="D5" s="120"/>
      <c r="E5" s="122" t="s">
        <v>44</v>
      </c>
      <c r="F5" s="123" t="s">
        <v>45</v>
      </c>
      <c r="G5" s="121"/>
      <c r="H5" s="122" t="s">
        <v>44</v>
      </c>
      <c r="I5" s="123" t="s">
        <v>45</v>
      </c>
      <c r="J5" s="198" t="s">
        <v>132</v>
      </c>
      <c r="K5" s="198" t="s">
        <v>133</v>
      </c>
    </row>
    <row r="6" spans="2:11" ht="41" thickBot="1">
      <c r="B6" s="39" t="s">
        <v>9</v>
      </c>
      <c r="C6" s="40" t="s">
        <v>13</v>
      </c>
      <c r="D6" s="40" t="s">
        <v>124</v>
      </c>
      <c r="E6" s="194" t="s">
        <v>125</v>
      </c>
      <c r="F6" s="195" t="s">
        <v>121</v>
      </c>
      <c r="G6" s="40" t="s">
        <v>12</v>
      </c>
      <c r="H6" s="194" t="s">
        <v>125</v>
      </c>
      <c r="I6" s="195" t="s">
        <v>121</v>
      </c>
      <c r="J6" s="72" t="s">
        <v>125</v>
      </c>
      <c r="K6" s="72" t="s">
        <v>135</v>
      </c>
    </row>
    <row r="7" spans="2:11">
      <c r="B7" s="36">
        <v>2020</v>
      </c>
      <c r="C7" s="37">
        <v>1</v>
      </c>
      <c r="D7" s="45">
        <v>100000</v>
      </c>
      <c r="E7" s="45"/>
      <c r="F7" s="45"/>
      <c r="G7" s="45">
        <v>400000</v>
      </c>
      <c r="H7" s="45"/>
      <c r="I7" s="45"/>
    </row>
    <row r="8" spans="2:11">
      <c r="B8" s="35">
        <v>2021</v>
      </c>
      <c r="C8" s="27">
        <v>1</v>
      </c>
      <c r="D8" s="45">
        <v>100000</v>
      </c>
      <c r="E8" s="119"/>
      <c r="F8" s="119"/>
      <c r="G8" s="47">
        <v>400000</v>
      </c>
      <c r="H8" s="119"/>
      <c r="I8" s="119"/>
    </row>
    <row r="9" spans="2:11">
      <c r="B9" s="34">
        <v>2022</v>
      </c>
      <c r="C9" s="26">
        <v>1</v>
      </c>
      <c r="D9" s="45">
        <v>100000</v>
      </c>
      <c r="E9" s="45"/>
      <c r="F9" s="45"/>
      <c r="G9" s="45">
        <v>400000</v>
      </c>
      <c r="H9" s="45"/>
      <c r="I9" s="45"/>
    </row>
    <row r="10" spans="2:11">
      <c r="B10" s="35">
        <v>2023</v>
      </c>
      <c r="C10" s="27">
        <v>1</v>
      </c>
      <c r="D10" s="45">
        <v>100000</v>
      </c>
      <c r="E10" s="119"/>
      <c r="F10" s="119"/>
      <c r="G10" s="47">
        <v>400000</v>
      </c>
      <c r="H10" s="119"/>
      <c r="I10" s="119"/>
    </row>
    <row r="11" spans="2:11">
      <c r="B11" s="34">
        <v>2024</v>
      </c>
      <c r="C11" s="26">
        <v>1</v>
      </c>
      <c r="D11" s="46">
        <v>1000000</v>
      </c>
      <c r="E11" s="46"/>
      <c r="F11" s="46"/>
      <c r="G11" s="46">
        <v>3000000</v>
      </c>
      <c r="H11" s="46"/>
      <c r="I11" s="46"/>
    </row>
    <row r="12" spans="2:11">
      <c r="B12" s="35">
        <v>2025</v>
      </c>
      <c r="C12" s="27">
        <v>1</v>
      </c>
      <c r="D12" s="46">
        <v>1000000</v>
      </c>
      <c r="E12" s="25"/>
      <c r="F12" s="25"/>
      <c r="G12" s="48">
        <v>3000000</v>
      </c>
      <c r="H12" s="25"/>
      <c r="I12" s="25"/>
    </row>
    <row r="13" spans="2:11">
      <c r="B13" s="34">
        <v>2026</v>
      </c>
      <c r="C13" s="26">
        <v>1</v>
      </c>
      <c r="D13" s="46">
        <v>1000000</v>
      </c>
      <c r="E13" s="46"/>
      <c r="F13" s="46"/>
      <c r="G13" s="46">
        <v>3000000</v>
      </c>
      <c r="H13" s="46"/>
      <c r="I13" s="46"/>
    </row>
    <row r="14" spans="2:11">
      <c r="B14" s="35">
        <v>2027</v>
      </c>
      <c r="C14" s="27">
        <v>1</v>
      </c>
      <c r="D14" s="46">
        <v>1000000</v>
      </c>
      <c r="E14" s="25"/>
      <c r="F14" s="25"/>
      <c r="G14" s="48">
        <v>3000000</v>
      </c>
      <c r="H14" s="25"/>
      <c r="I14" s="25"/>
    </row>
    <row r="15" spans="2:11">
      <c r="B15" s="34">
        <v>2028</v>
      </c>
      <c r="C15" s="26">
        <v>1</v>
      </c>
      <c r="D15" s="46">
        <v>1000000</v>
      </c>
      <c r="E15" s="24"/>
      <c r="F15" s="24"/>
      <c r="G15" s="46">
        <v>3000000</v>
      </c>
      <c r="H15" s="24"/>
      <c r="I15" s="24"/>
    </row>
    <row r="16" spans="2:11">
      <c r="B16" s="35">
        <v>2029</v>
      </c>
      <c r="C16" s="27">
        <v>1</v>
      </c>
      <c r="D16" s="46">
        <v>1000000</v>
      </c>
      <c r="E16" s="25"/>
      <c r="F16" s="25"/>
      <c r="G16" s="48">
        <v>3000000</v>
      </c>
      <c r="H16" s="25"/>
      <c r="I16" s="25"/>
    </row>
    <row r="17" spans="2:11">
      <c r="B17" s="128" t="s">
        <v>54</v>
      </c>
      <c r="C17" s="124">
        <v>1</v>
      </c>
      <c r="D17" s="130">
        <f>SUM(D7:D16)</f>
        <v>6400000</v>
      </c>
      <c r="E17" s="25"/>
      <c r="F17" s="25"/>
      <c r="G17" s="48">
        <f>SUM(G7:G16)</f>
        <v>19600000</v>
      </c>
      <c r="H17" s="25"/>
      <c r="I17" s="25"/>
    </row>
    <row r="18" spans="2:11" ht="17" thickBot="1">
      <c r="B18" s="128" t="s">
        <v>55</v>
      </c>
      <c r="C18" s="125">
        <v>1</v>
      </c>
      <c r="D18" s="129">
        <f>20*D16</f>
        <v>20000000</v>
      </c>
      <c r="E18" s="126"/>
      <c r="F18" s="126"/>
      <c r="G18" s="127">
        <f>20*G16</f>
        <v>60000000</v>
      </c>
      <c r="H18" s="126"/>
      <c r="I18" s="126"/>
    </row>
    <row r="19" spans="2:11" ht="17" thickBot="1">
      <c r="B19" s="17" t="s">
        <v>56</v>
      </c>
      <c r="C19" s="28">
        <v>1</v>
      </c>
      <c r="D19" s="196">
        <f>D17+D18</f>
        <v>26400000</v>
      </c>
      <c r="E19" s="29">
        <f>D19*C37/2000</f>
        <v>96940.563817534799</v>
      </c>
      <c r="F19" s="29">
        <f>(D19*B33*B30*0.1)/2000</f>
        <v>25975.488000000001</v>
      </c>
      <c r="G19" s="42">
        <f>G17+G18</f>
        <v>79600000</v>
      </c>
      <c r="H19" s="196">
        <f>G19*C37/2000</f>
        <v>292290.48787408223</v>
      </c>
      <c r="I19" s="29">
        <f>(G19*B33*0.88)/2000</f>
        <v>784537.59999999998</v>
      </c>
      <c r="J19" s="199">
        <f>E19+H19</f>
        <v>389231.051691617</v>
      </c>
      <c r="K19" s="199">
        <f>F19+I19</f>
        <v>810513.08799999999</v>
      </c>
    </row>
    <row r="20" spans="2:11" ht="16" customHeight="1"/>
    <row r="21" spans="2:11">
      <c r="E21" t="s">
        <v>127</v>
      </c>
    </row>
    <row r="22" spans="2:11" ht="21">
      <c r="B22" s="49" t="s">
        <v>15</v>
      </c>
      <c r="C22" s="49"/>
      <c r="D22" s="33"/>
      <c r="E22" s="61" t="s">
        <v>126</v>
      </c>
      <c r="F22" s="33"/>
    </row>
    <row r="24" spans="2:11">
      <c r="B24" s="380" t="s">
        <v>38</v>
      </c>
      <c r="C24" s="380"/>
      <c r="D24" s="380"/>
      <c r="E24" s="380"/>
      <c r="F24" s="380"/>
      <c r="G24" s="380"/>
    </row>
    <row r="25" spans="2:11">
      <c r="B25" s="380"/>
      <c r="C25" s="380"/>
      <c r="D25" s="380"/>
      <c r="E25" s="380"/>
      <c r="F25" s="380"/>
      <c r="G25" s="380"/>
    </row>
    <row r="26" spans="2:11">
      <c r="B26" s="380"/>
      <c r="C26" s="380"/>
      <c r="D26" s="380"/>
      <c r="E26" s="380"/>
      <c r="F26" s="380"/>
      <c r="G26" s="380"/>
    </row>
    <row r="27" spans="2:11">
      <c r="B27" s="63"/>
      <c r="C27" s="63"/>
      <c r="D27" s="63"/>
      <c r="E27" s="65"/>
      <c r="F27" s="65"/>
      <c r="G27" s="63"/>
      <c r="H27" s="65"/>
      <c r="I27" s="65"/>
    </row>
    <row r="28" spans="2:11">
      <c r="B28" s="193">
        <v>0.88600000000000001</v>
      </c>
      <c r="C28" t="s">
        <v>122</v>
      </c>
    </row>
    <row r="29" spans="2:11">
      <c r="B29" s="193">
        <v>0.871</v>
      </c>
      <c r="C29" s="3" t="s">
        <v>123</v>
      </c>
    </row>
    <row r="30" spans="2:11">
      <c r="B30" s="193">
        <v>0.87849999999999995</v>
      </c>
      <c r="C30" t="s">
        <v>128</v>
      </c>
    </row>
    <row r="31" spans="2:11">
      <c r="B31" s="193"/>
    </row>
    <row r="32" spans="2:11" ht="18">
      <c r="B32" s="15" t="s">
        <v>96</v>
      </c>
    </row>
    <row r="33" spans="2:3" ht="18">
      <c r="B33">
        <v>22.4</v>
      </c>
      <c r="C33" s="139" t="s">
        <v>114</v>
      </c>
    </row>
    <row r="34" spans="2:3">
      <c r="B34" s="3" t="s">
        <v>95</v>
      </c>
    </row>
    <row r="36" spans="2:3">
      <c r="B36" s="169" t="s">
        <v>77</v>
      </c>
      <c r="C36" s="170" t="s">
        <v>79</v>
      </c>
    </row>
    <row r="37" spans="2:3">
      <c r="B37" s="139" t="s">
        <v>62</v>
      </c>
      <c r="C37" s="171">
        <v>7.3439821073890004</v>
      </c>
    </row>
  </sheetData>
  <mergeCells count="8">
    <mergeCell ref="B24:G26"/>
    <mergeCell ref="J4:K4"/>
    <mergeCell ref="B1:G1"/>
    <mergeCell ref="B3:C3"/>
    <mergeCell ref="B5:C5"/>
    <mergeCell ref="E4:F4"/>
    <mergeCell ref="H4:I4"/>
    <mergeCell ref="D3:I3"/>
  </mergeCells>
  <hyperlinks>
    <hyperlink ref="C29" r:id="rId1" xr:uid="{00000000-0004-0000-0200-000000000000}"/>
    <hyperlink ref="B34" r:id="rId2" xr:uid="{00000000-0004-0000-0200-000001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G33"/>
  <sheetViews>
    <sheetView zoomScale="150" zoomScaleNormal="150" zoomScalePageLayoutView="150" workbookViewId="0">
      <selection activeCell="I21" sqref="I21"/>
    </sheetView>
  </sheetViews>
  <sheetFormatPr baseColWidth="10" defaultRowHeight="16"/>
  <cols>
    <col min="1" max="1" width="6.1640625" customWidth="1"/>
    <col min="4" max="4" width="14" bestFit="1" customWidth="1"/>
    <col min="5" max="5" width="15.83203125" customWidth="1"/>
    <col min="6" max="6" width="13.5" customWidth="1"/>
    <col min="7" max="7" width="14.6640625" customWidth="1"/>
  </cols>
  <sheetData>
    <row r="3" spans="2:7" ht="19">
      <c r="B3" s="391"/>
      <c r="C3" s="391"/>
      <c r="D3" s="391"/>
      <c r="E3" s="391"/>
    </row>
    <row r="4" spans="2:7" ht="69" customHeight="1">
      <c r="B4" s="375" t="s">
        <v>14</v>
      </c>
      <c r="C4" s="375"/>
      <c r="D4" s="376" t="s">
        <v>8</v>
      </c>
      <c r="E4" s="376"/>
    </row>
    <row r="5" spans="2:7" ht="17" thickBot="1">
      <c r="B5" s="30"/>
      <c r="C5" s="30"/>
      <c r="D5" s="30"/>
      <c r="E5" s="30"/>
    </row>
    <row r="6" spans="2:7" ht="20" customHeight="1" thickBot="1">
      <c r="B6" s="385"/>
      <c r="C6" s="386"/>
      <c r="D6" s="392" t="s">
        <v>10</v>
      </c>
      <c r="E6" s="393"/>
      <c r="F6" s="387" t="s">
        <v>51</v>
      </c>
      <c r="G6" s="388"/>
    </row>
    <row r="7" spans="2:7" ht="58" thickBot="1">
      <c r="B7" s="39" t="s">
        <v>9</v>
      </c>
      <c r="C7" s="40" t="s">
        <v>13</v>
      </c>
      <c r="D7" s="40" t="s">
        <v>11</v>
      </c>
      <c r="E7" s="40" t="s">
        <v>12</v>
      </c>
      <c r="F7" s="122" t="s">
        <v>44</v>
      </c>
      <c r="G7" s="333" t="s">
        <v>45</v>
      </c>
    </row>
    <row r="8" spans="2:7">
      <c r="B8" s="36">
        <v>2020</v>
      </c>
      <c r="C8" s="37"/>
      <c r="D8" s="38">
        <v>0</v>
      </c>
      <c r="E8" s="38">
        <v>0</v>
      </c>
      <c r="F8" s="351"/>
      <c r="G8" s="99"/>
    </row>
    <row r="9" spans="2:7">
      <c r="B9" s="35">
        <v>2021</v>
      </c>
      <c r="C9" s="27"/>
      <c r="D9" s="21">
        <v>0</v>
      </c>
      <c r="E9" s="21">
        <v>0</v>
      </c>
      <c r="F9" s="275"/>
      <c r="G9" s="99"/>
    </row>
    <row r="10" spans="2:7">
      <c r="B10" s="34">
        <v>2022</v>
      </c>
      <c r="C10" s="26"/>
      <c r="D10" s="19">
        <v>0</v>
      </c>
      <c r="E10" s="19">
        <v>0</v>
      </c>
      <c r="F10" s="275"/>
      <c r="G10" s="99"/>
    </row>
    <row r="11" spans="2:7">
      <c r="B11" s="35">
        <v>2023</v>
      </c>
      <c r="C11" s="27"/>
      <c r="D11" s="22">
        <v>0</v>
      </c>
      <c r="E11" s="22">
        <v>0</v>
      </c>
      <c r="F11" s="275"/>
      <c r="G11" s="99"/>
    </row>
    <row r="12" spans="2:7">
      <c r="B12" s="34">
        <v>2024</v>
      </c>
      <c r="C12" s="26"/>
      <c r="D12" s="23">
        <v>0</v>
      </c>
      <c r="E12" s="23">
        <v>0</v>
      </c>
      <c r="F12" s="275"/>
      <c r="G12" s="99"/>
    </row>
    <row r="13" spans="2:7">
      <c r="B13" s="35">
        <v>2025</v>
      </c>
      <c r="C13" s="27"/>
      <c r="D13" s="22">
        <v>0</v>
      </c>
      <c r="E13" s="22">
        <v>0</v>
      </c>
      <c r="F13" s="275"/>
      <c r="G13" s="99"/>
    </row>
    <row r="14" spans="2:7">
      <c r="B14" s="34">
        <v>2026</v>
      </c>
      <c r="C14" s="26"/>
      <c r="D14" s="23">
        <v>0</v>
      </c>
      <c r="E14" s="23">
        <v>0</v>
      </c>
      <c r="F14" s="275"/>
      <c r="G14" s="99"/>
    </row>
    <row r="15" spans="2:7">
      <c r="B15" s="35">
        <v>2027</v>
      </c>
      <c r="C15" s="27"/>
      <c r="D15" s="22">
        <v>0</v>
      </c>
      <c r="E15" s="22">
        <v>0</v>
      </c>
      <c r="F15" s="275"/>
      <c r="G15" s="99"/>
    </row>
    <row r="16" spans="2:7">
      <c r="B16" s="34">
        <v>2028</v>
      </c>
      <c r="C16" s="26">
        <v>1</v>
      </c>
      <c r="D16" s="59">
        <v>0</v>
      </c>
      <c r="E16" s="46">
        <v>13500000</v>
      </c>
      <c r="F16" s="275"/>
      <c r="G16" s="99"/>
    </row>
    <row r="17" spans="2:7">
      <c r="B17" s="132">
        <v>2029</v>
      </c>
      <c r="C17" s="133">
        <v>1</v>
      </c>
      <c r="D17" s="60">
        <v>0</v>
      </c>
      <c r="E17" s="134">
        <v>13500000</v>
      </c>
      <c r="F17" s="276"/>
      <c r="G17" s="99"/>
    </row>
    <row r="18" spans="2:7">
      <c r="B18" s="141" t="s">
        <v>59</v>
      </c>
      <c r="C18" s="136">
        <v>1</v>
      </c>
      <c r="D18" s="130"/>
      <c r="E18" s="142">
        <f>SUM(E8:E17)</f>
        <v>27000000</v>
      </c>
      <c r="F18" s="115"/>
      <c r="G18" s="153"/>
    </row>
    <row r="19" spans="2:7" ht="17" thickBot="1">
      <c r="B19" s="144" t="s">
        <v>60</v>
      </c>
      <c r="C19" s="145">
        <v>1</v>
      </c>
      <c r="D19" s="146"/>
      <c r="E19" s="147">
        <f>E17*20</f>
        <v>270000000</v>
      </c>
      <c r="F19" s="148"/>
      <c r="G19" s="350"/>
    </row>
    <row r="20" spans="2:7" ht="17" thickBot="1">
      <c r="B20" s="140" t="s">
        <v>56</v>
      </c>
      <c r="C20" s="150"/>
      <c r="D20" s="29"/>
      <c r="E20" s="42">
        <f>E18+E19</f>
        <v>297000000</v>
      </c>
      <c r="F20" s="151"/>
      <c r="G20" s="152"/>
    </row>
    <row r="21" spans="2:7">
      <c r="B21" s="67"/>
      <c r="C21" s="67"/>
      <c r="D21" s="68"/>
      <c r="E21" s="69"/>
    </row>
    <row r="22" spans="2:7" ht="19">
      <c r="B22" s="41" t="s">
        <v>16</v>
      </c>
      <c r="C22" s="41"/>
      <c r="D22" s="41"/>
    </row>
    <row r="23" spans="2:7" ht="40" customHeight="1">
      <c r="B23" s="390" t="s">
        <v>24</v>
      </c>
      <c r="C23" s="390"/>
      <c r="D23" s="390"/>
      <c r="E23" s="390"/>
    </row>
    <row r="24" spans="2:7">
      <c r="B24" s="32"/>
      <c r="C24" s="32"/>
      <c r="D24" s="32"/>
      <c r="E24" s="32"/>
    </row>
    <row r="26" spans="2:7" ht="19">
      <c r="B26" s="33" t="s">
        <v>15</v>
      </c>
      <c r="C26" s="33"/>
      <c r="D26" s="33"/>
    </row>
    <row r="27" spans="2:7" ht="19">
      <c r="B27" s="33"/>
      <c r="C27" s="33"/>
      <c r="D27" s="33"/>
    </row>
    <row r="28" spans="2:7" ht="19">
      <c r="B28" s="1" t="s">
        <v>22</v>
      </c>
      <c r="C28" s="33"/>
      <c r="D28" s="33"/>
    </row>
    <row r="29" spans="2:7">
      <c r="B29" t="s">
        <v>21</v>
      </c>
    </row>
    <row r="30" spans="2:7">
      <c r="B30" t="s">
        <v>23</v>
      </c>
    </row>
    <row r="32" spans="2:7">
      <c r="B32" s="1" t="s">
        <v>20</v>
      </c>
    </row>
    <row r="33" spans="2:2">
      <c r="B33" s="3" t="s">
        <v>6</v>
      </c>
    </row>
  </sheetData>
  <mergeCells count="7">
    <mergeCell ref="F6:G6"/>
    <mergeCell ref="B23:E23"/>
    <mergeCell ref="B3:E3"/>
    <mergeCell ref="B4:C4"/>
    <mergeCell ref="D4:E4"/>
    <mergeCell ref="B6:C6"/>
    <mergeCell ref="D6:E6"/>
  </mergeCells>
  <hyperlinks>
    <hyperlink ref="B33" r:id="rId1" xr:uid="{00000000-0004-0000-03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40"/>
  <sheetViews>
    <sheetView topLeftCell="A7" zoomScale="150" zoomScaleNormal="150" zoomScalePageLayoutView="150" workbookViewId="0">
      <selection activeCell="B23" sqref="B23:I23"/>
    </sheetView>
  </sheetViews>
  <sheetFormatPr baseColWidth="10" defaultRowHeight="16"/>
  <cols>
    <col min="1" max="1" width="7.83203125" customWidth="1"/>
    <col min="4" max="4" width="14" bestFit="1" customWidth="1"/>
    <col min="5" max="6" width="14" customWidth="1"/>
    <col min="7" max="7" width="14" bestFit="1" customWidth="1"/>
    <col min="8" max="8" width="14.6640625" customWidth="1"/>
    <col min="9" max="9" width="16.33203125" customWidth="1"/>
  </cols>
  <sheetData>
    <row r="2" spans="2:9" ht="19">
      <c r="B2" s="391"/>
      <c r="C2" s="391"/>
      <c r="D2" s="391"/>
      <c r="E2" s="391"/>
      <c r="F2" s="391"/>
      <c r="G2" s="391"/>
    </row>
    <row r="3" spans="2:9" ht="64" customHeight="1">
      <c r="B3" s="375" t="s">
        <v>14</v>
      </c>
      <c r="C3" s="375"/>
      <c r="D3" s="396" t="s">
        <v>41</v>
      </c>
      <c r="E3" s="396"/>
      <c r="F3" s="396"/>
      <c r="G3" s="396"/>
    </row>
    <row r="4" spans="2:9" ht="17" thickBot="1">
      <c r="B4" s="30"/>
      <c r="C4" s="30"/>
      <c r="D4" s="30"/>
      <c r="E4" s="30"/>
      <c r="F4" s="30"/>
      <c r="G4" s="30"/>
    </row>
    <row r="5" spans="2:9" ht="22" thickBot="1">
      <c r="B5" s="385"/>
      <c r="C5" s="386"/>
      <c r="D5" s="117"/>
      <c r="E5" s="387" t="s">
        <v>51</v>
      </c>
      <c r="F5" s="388"/>
      <c r="G5" s="118"/>
      <c r="H5" s="387" t="s">
        <v>51</v>
      </c>
      <c r="I5" s="388"/>
    </row>
    <row r="6" spans="2:9" ht="58" thickBot="1">
      <c r="B6" s="39" t="s">
        <v>9</v>
      </c>
      <c r="C6" s="40" t="s">
        <v>13</v>
      </c>
      <c r="D6" s="40" t="s">
        <v>11</v>
      </c>
      <c r="E6" s="122" t="s">
        <v>44</v>
      </c>
      <c r="F6" s="123" t="s">
        <v>45</v>
      </c>
      <c r="G6" s="40" t="s">
        <v>12</v>
      </c>
      <c r="H6" s="122" t="s">
        <v>44</v>
      </c>
      <c r="I6" s="123" t="s">
        <v>45</v>
      </c>
    </row>
    <row r="7" spans="2:9">
      <c r="B7" s="36">
        <v>2020</v>
      </c>
      <c r="C7" s="37"/>
      <c r="D7" s="38">
        <v>0</v>
      </c>
      <c r="E7" s="38"/>
      <c r="F7" s="38"/>
      <c r="G7" s="38">
        <v>0</v>
      </c>
    </row>
    <row r="8" spans="2:9">
      <c r="B8" s="35">
        <v>2021</v>
      </c>
      <c r="C8" s="27"/>
      <c r="D8" s="21">
        <v>0</v>
      </c>
      <c r="E8" s="21"/>
      <c r="F8" s="21"/>
      <c r="G8" s="21">
        <v>0</v>
      </c>
    </row>
    <row r="9" spans="2:9">
      <c r="B9" s="34">
        <v>2022</v>
      </c>
      <c r="C9" s="26"/>
      <c r="D9" s="19">
        <v>0</v>
      </c>
      <c r="E9" s="19"/>
      <c r="F9" s="19"/>
      <c r="G9" s="19">
        <v>0</v>
      </c>
    </row>
    <row r="10" spans="2:9">
      <c r="B10" s="35">
        <v>2023</v>
      </c>
      <c r="C10" s="27"/>
      <c r="D10" s="22">
        <v>0</v>
      </c>
      <c r="E10" s="22"/>
      <c r="F10" s="22"/>
      <c r="G10" s="22">
        <v>0</v>
      </c>
    </row>
    <row r="11" spans="2:9">
      <c r="B11" s="34">
        <v>2024</v>
      </c>
      <c r="C11" s="26"/>
      <c r="D11" s="23">
        <v>0</v>
      </c>
      <c r="E11" s="23"/>
      <c r="F11" s="23"/>
      <c r="G11" s="23">
        <v>0</v>
      </c>
    </row>
    <row r="12" spans="2:9">
      <c r="B12" s="35">
        <v>2025</v>
      </c>
      <c r="C12" s="27">
        <v>1</v>
      </c>
      <c r="D12" s="5">
        <f>60000*2000</f>
        <v>120000000</v>
      </c>
      <c r="E12" s="5"/>
      <c r="F12" s="5"/>
      <c r="G12" s="43">
        <v>5811785.2000000002</v>
      </c>
    </row>
    <row r="13" spans="2:9">
      <c r="B13" s="34">
        <v>2026</v>
      </c>
      <c r="C13" s="26">
        <v>1</v>
      </c>
      <c r="D13" s="13">
        <f t="shared" ref="D13:D16" si="0">60000*2000</f>
        <v>120000000</v>
      </c>
      <c r="E13" s="13"/>
      <c r="F13" s="13"/>
      <c r="G13" s="44">
        <v>5811785.2000000002</v>
      </c>
    </row>
    <row r="14" spans="2:9">
      <c r="B14" s="35">
        <v>2027</v>
      </c>
      <c r="C14" s="27">
        <v>1</v>
      </c>
      <c r="D14" s="5">
        <f t="shared" si="0"/>
        <v>120000000</v>
      </c>
      <c r="E14" s="5"/>
      <c r="F14" s="5"/>
      <c r="G14" s="43">
        <v>5811785.2000000002</v>
      </c>
    </row>
    <row r="15" spans="2:9">
      <c r="B15" s="34">
        <v>2028</v>
      </c>
      <c r="C15" s="26">
        <v>1</v>
      </c>
      <c r="D15" s="13">
        <f t="shared" si="0"/>
        <v>120000000</v>
      </c>
      <c r="E15" s="13"/>
      <c r="F15" s="13"/>
      <c r="G15" s="44">
        <v>5811785.2000000002</v>
      </c>
    </row>
    <row r="16" spans="2:9">
      <c r="B16" s="132">
        <v>2029</v>
      </c>
      <c r="C16" s="133">
        <v>1</v>
      </c>
      <c r="D16" s="5">
        <f t="shared" si="0"/>
        <v>120000000</v>
      </c>
      <c r="E16" s="5"/>
      <c r="F16" s="5"/>
      <c r="G16" s="43">
        <v>5811785.2000000002</v>
      </c>
    </row>
    <row r="17" spans="2:9">
      <c r="B17" s="141" t="s">
        <v>59</v>
      </c>
      <c r="C17" s="136">
        <v>1</v>
      </c>
      <c r="D17" s="130">
        <f t="shared" ref="D17:G17" si="1">SUM(D7:D16)</f>
        <v>600000000</v>
      </c>
      <c r="E17" s="130"/>
      <c r="F17" s="130"/>
      <c r="G17" s="142">
        <f t="shared" si="1"/>
        <v>29058926</v>
      </c>
      <c r="H17" s="115"/>
      <c r="I17" s="153"/>
    </row>
    <row r="18" spans="2:9" ht="17" thickBot="1">
      <c r="B18" s="144" t="s">
        <v>60</v>
      </c>
      <c r="C18" s="145">
        <v>1</v>
      </c>
      <c r="D18" s="146">
        <f>D16*20</f>
        <v>2400000000</v>
      </c>
      <c r="E18" s="146"/>
      <c r="F18" s="146"/>
      <c r="G18" s="147">
        <f>G16*20</f>
        <v>116235704</v>
      </c>
      <c r="H18" s="148"/>
      <c r="I18" s="154"/>
    </row>
    <row r="19" spans="2:9" ht="17" thickBot="1">
      <c r="B19" s="140" t="s">
        <v>56</v>
      </c>
      <c r="C19" s="150">
        <v>1</v>
      </c>
      <c r="D19" s="29">
        <f>D17+D18</f>
        <v>3000000000</v>
      </c>
      <c r="E19" s="29"/>
      <c r="F19" s="29"/>
      <c r="G19" s="42">
        <f>G17+G18</f>
        <v>145294630</v>
      </c>
      <c r="H19" s="151"/>
      <c r="I19" s="152"/>
    </row>
    <row r="21" spans="2:9" ht="19">
      <c r="B21" s="41" t="s">
        <v>16</v>
      </c>
      <c r="C21" s="41"/>
      <c r="D21" s="41"/>
      <c r="E21" s="41"/>
      <c r="F21" s="41"/>
    </row>
    <row r="22" spans="2:9" ht="19">
      <c r="B22" s="31"/>
      <c r="C22" s="31"/>
      <c r="D22" s="31"/>
      <c r="E22" s="31"/>
      <c r="F22" s="31"/>
    </row>
    <row r="23" spans="2:9" ht="103" customHeight="1">
      <c r="B23" s="395" t="s">
        <v>102</v>
      </c>
      <c r="C23" s="395"/>
      <c r="D23" s="395"/>
      <c r="E23" s="395"/>
      <c r="F23" s="395"/>
      <c r="G23" s="395"/>
      <c r="H23" s="395"/>
      <c r="I23" s="395"/>
    </row>
    <row r="25" spans="2:9" ht="56" customHeight="1">
      <c r="B25" s="394" t="s">
        <v>19</v>
      </c>
      <c r="C25" s="394"/>
      <c r="D25" s="394"/>
      <c r="E25" s="394"/>
      <c r="F25" s="394"/>
      <c r="G25" s="394"/>
    </row>
    <row r="29" spans="2:9" ht="19">
      <c r="B29" s="33" t="s">
        <v>15</v>
      </c>
      <c r="C29" s="33"/>
      <c r="D29" s="33"/>
      <c r="E29" s="33"/>
      <c r="F29" s="33"/>
    </row>
    <row r="30" spans="2:9" ht="19">
      <c r="B30" s="61" t="s">
        <v>42</v>
      </c>
      <c r="C30" s="33"/>
      <c r="D30" s="33"/>
      <c r="E30" s="33"/>
      <c r="F30" s="33"/>
    </row>
    <row r="31" spans="2:9" ht="19">
      <c r="B31" s="61"/>
      <c r="C31" s="33"/>
      <c r="D31" s="33"/>
      <c r="E31" s="33"/>
      <c r="F31" s="33"/>
    </row>
    <row r="32" spans="2:9" ht="19">
      <c r="B32" s="61" t="s">
        <v>101</v>
      </c>
      <c r="C32" s="33"/>
      <c r="D32" s="33"/>
      <c r="E32" s="33"/>
      <c r="F32" s="33"/>
    </row>
    <row r="33" spans="2:6" ht="19">
      <c r="B33" s="61"/>
      <c r="C33" s="33"/>
      <c r="D33" s="33"/>
      <c r="E33" s="33"/>
      <c r="F33" s="33"/>
    </row>
    <row r="35" spans="2:6">
      <c r="B35" s="1" t="s">
        <v>5</v>
      </c>
    </row>
    <row r="36" spans="2:6">
      <c r="B36" s="3" t="s">
        <v>7</v>
      </c>
    </row>
    <row r="37" spans="2:6">
      <c r="B37" s="3" t="s">
        <v>6</v>
      </c>
    </row>
    <row r="39" spans="2:6">
      <c r="B39" t="s">
        <v>25</v>
      </c>
    </row>
    <row r="40" spans="2:6">
      <c r="B40" s="3" t="s">
        <v>26</v>
      </c>
    </row>
  </sheetData>
  <mergeCells count="8">
    <mergeCell ref="B25:G25"/>
    <mergeCell ref="E5:F5"/>
    <mergeCell ref="B23:I23"/>
    <mergeCell ref="B2:G2"/>
    <mergeCell ref="B3:C3"/>
    <mergeCell ref="D3:G3"/>
    <mergeCell ref="B5:C5"/>
    <mergeCell ref="H5:I5"/>
  </mergeCells>
  <hyperlinks>
    <hyperlink ref="B37" r:id="rId1" xr:uid="{00000000-0004-0000-0400-000000000000}"/>
    <hyperlink ref="B36" r:id="rId2" xr:uid="{00000000-0004-0000-0400-000001000000}"/>
    <hyperlink ref="B40" r:id="rId3" xr:uid="{00000000-0004-0000-0400-000002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40"/>
  <sheetViews>
    <sheetView topLeftCell="A24" zoomScale="150" zoomScaleNormal="150" zoomScalePageLayoutView="150" workbookViewId="0">
      <selection activeCell="B2" sqref="B2:F2"/>
    </sheetView>
  </sheetViews>
  <sheetFormatPr baseColWidth="10" defaultRowHeight="16"/>
  <cols>
    <col min="1" max="1" width="5.83203125" customWidth="1"/>
    <col min="2" max="2" width="8.33203125" customWidth="1"/>
    <col min="3" max="3" width="7.6640625" customWidth="1"/>
    <col min="4" max="6" width="14.83203125" customWidth="1"/>
  </cols>
  <sheetData>
    <row r="2" spans="2:7" s="18" customFormat="1" ht="24" customHeight="1">
      <c r="B2" s="391"/>
      <c r="C2" s="391"/>
      <c r="D2" s="391"/>
      <c r="E2" s="391"/>
      <c r="F2" s="391"/>
    </row>
    <row r="3" spans="2:7" s="18" customFormat="1" ht="49" customHeight="1">
      <c r="B3" s="375" t="s">
        <v>57</v>
      </c>
      <c r="C3" s="375"/>
      <c r="D3" s="396"/>
      <c r="E3" s="396"/>
      <c r="F3" s="396"/>
    </row>
    <row r="4" spans="2:7" ht="20" customHeight="1" thickBot="1">
      <c r="B4" s="30"/>
      <c r="C4" s="30"/>
      <c r="D4" s="30"/>
      <c r="E4" s="30"/>
      <c r="F4" s="30"/>
    </row>
    <row r="5" spans="2:7" s="18" customFormat="1" ht="24" customHeight="1" thickBot="1">
      <c r="B5" s="385"/>
      <c r="C5" s="386"/>
      <c r="D5" s="64"/>
      <c r="E5" s="387" t="s">
        <v>51</v>
      </c>
      <c r="F5" s="388"/>
    </row>
    <row r="6" spans="2:7" s="1" customFormat="1" ht="61" customHeight="1" thickBot="1">
      <c r="B6" s="39" t="s">
        <v>9</v>
      </c>
      <c r="C6" s="40" t="s">
        <v>13</v>
      </c>
      <c r="D6" s="40" t="s">
        <v>11</v>
      </c>
      <c r="E6" s="122" t="s">
        <v>44</v>
      </c>
      <c r="F6" s="123" t="s">
        <v>45</v>
      </c>
    </row>
    <row r="7" spans="2:7" s="20" customFormat="1" ht="18" customHeight="1">
      <c r="B7" s="36">
        <v>2020</v>
      </c>
      <c r="C7" s="37"/>
      <c r="D7" s="38">
        <v>0</v>
      </c>
      <c r="E7" s="38"/>
      <c r="F7" s="38"/>
    </row>
    <row r="8" spans="2:7" s="20" customFormat="1" ht="18" customHeight="1">
      <c r="B8" s="35">
        <v>2021</v>
      </c>
      <c r="C8" s="27"/>
      <c r="D8" s="21">
        <v>0</v>
      </c>
      <c r="E8" s="21"/>
      <c r="F8" s="21"/>
    </row>
    <row r="9" spans="2:7" s="20" customFormat="1" ht="18" customHeight="1">
      <c r="B9" s="34">
        <v>2022</v>
      </c>
      <c r="C9" s="26"/>
      <c r="D9" s="19">
        <v>0</v>
      </c>
      <c r="E9" s="19"/>
      <c r="F9" s="19"/>
    </row>
    <row r="10" spans="2:7" s="20" customFormat="1" ht="18" customHeight="1">
      <c r="B10" s="35">
        <v>2023</v>
      </c>
      <c r="C10" s="27"/>
      <c r="D10" s="22">
        <v>0</v>
      </c>
      <c r="E10" s="22"/>
      <c r="F10" s="22"/>
    </row>
    <row r="11" spans="2:7" s="20" customFormat="1" ht="18" customHeight="1">
      <c r="B11" s="34">
        <v>2024</v>
      </c>
      <c r="C11" s="26"/>
      <c r="D11" s="23">
        <v>0</v>
      </c>
      <c r="E11" s="23"/>
      <c r="F11" s="23"/>
    </row>
    <row r="12" spans="2:7" s="20" customFormat="1" ht="18" customHeight="1">
      <c r="B12" s="35">
        <v>2025</v>
      </c>
      <c r="C12" s="27"/>
      <c r="D12" s="22">
        <v>0</v>
      </c>
      <c r="E12" s="22"/>
      <c r="F12" s="22"/>
    </row>
    <row r="13" spans="2:7" s="20" customFormat="1" ht="18" customHeight="1">
      <c r="B13" s="34">
        <v>2026</v>
      </c>
      <c r="C13" s="26"/>
      <c r="D13" s="23">
        <v>0</v>
      </c>
      <c r="E13" s="23"/>
      <c r="F13" s="23"/>
    </row>
    <row r="14" spans="2:7" s="20" customFormat="1" ht="18" customHeight="1">
      <c r="B14" s="35">
        <v>2027</v>
      </c>
      <c r="C14" s="27"/>
      <c r="D14" s="22">
        <v>0</v>
      </c>
      <c r="E14" s="22"/>
      <c r="F14" s="22"/>
    </row>
    <row r="15" spans="2:7" s="20" customFormat="1" ht="18" customHeight="1">
      <c r="B15" s="34">
        <v>2028</v>
      </c>
      <c r="C15" s="26">
        <v>1</v>
      </c>
      <c r="D15" s="24">
        <v>250000000</v>
      </c>
      <c r="E15" s="24"/>
      <c r="F15" s="24"/>
      <c r="G15" s="20" t="s">
        <v>58</v>
      </c>
    </row>
    <row r="16" spans="2:7" s="20" customFormat="1" ht="18" customHeight="1">
      <c r="B16" s="132">
        <v>2029</v>
      </c>
      <c r="C16" s="133">
        <v>1</v>
      </c>
      <c r="D16" s="134">
        <v>250000000</v>
      </c>
      <c r="E16" s="134"/>
      <c r="F16" s="134"/>
    </row>
    <row r="17" spans="2:6" s="18" customFormat="1" ht="18" customHeight="1">
      <c r="B17" s="135" t="s">
        <v>54</v>
      </c>
      <c r="C17" s="136">
        <v>1</v>
      </c>
      <c r="D17" s="130">
        <f>SUM(D7:D16)</f>
        <v>500000000</v>
      </c>
      <c r="E17" s="130"/>
      <c r="F17" s="130"/>
    </row>
    <row r="18" spans="2:6" s="18" customFormat="1" ht="18" customHeight="1">
      <c r="B18" s="135" t="s">
        <v>55</v>
      </c>
      <c r="C18" s="136">
        <v>1</v>
      </c>
      <c r="D18" s="130">
        <f>20*D16</f>
        <v>5000000000</v>
      </c>
      <c r="E18" s="130"/>
      <c r="F18" s="130"/>
    </row>
    <row r="19" spans="2:6" s="18" customFormat="1" ht="18" customHeight="1">
      <c r="B19" s="137" t="s">
        <v>48</v>
      </c>
      <c r="C19" s="136">
        <v>1</v>
      </c>
      <c r="D19" s="130">
        <f>D17+D18</f>
        <v>5500000000</v>
      </c>
      <c r="E19" s="130"/>
      <c r="F19" s="130"/>
    </row>
    <row r="20" spans="2:6" s="18" customFormat="1" ht="18" customHeight="1">
      <c r="B20" s="67"/>
      <c r="C20" s="67"/>
      <c r="D20" s="68"/>
      <c r="E20" s="68"/>
      <c r="F20" s="68"/>
    </row>
    <row r="22" spans="2:6" ht="19">
      <c r="B22" s="41" t="s">
        <v>16</v>
      </c>
      <c r="C22" s="41"/>
      <c r="D22" s="41"/>
      <c r="E22" s="41"/>
      <c r="F22" s="41"/>
    </row>
    <row r="23" spans="2:6" ht="8" customHeight="1">
      <c r="B23" s="31"/>
      <c r="C23" s="31"/>
      <c r="D23" s="31"/>
      <c r="E23" s="31"/>
      <c r="F23" s="31"/>
    </row>
    <row r="24" spans="2:6" ht="165" customHeight="1">
      <c r="B24" s="389" t="s">
        <v>39</v>
      </c>
      <c r="C24" s="389"/>
      <c r="D24" s="389"/>
      <c r="E24" s="389"/>
      <c r="F24" s="389"/>
    </row>
    <row r="26" spans="2:6" ht="19">
      <c r="B26" s="33" t="s">
        <v>15</v>
      </c>
      <c r="C26" s="33"/>
      <c r="D26" s="33"/>
      <c r="E26" s="33"/>
      <c r="F26" s="33"/>
    </row>
    <row r="27" spans="2:6" ht="8" customHeight="1"/>
    <row r="28" spans="2:6" s="8" customFormat="1">
      <c r="B28" s="8" t="s">
        <v>1</v>
      </c>
    </row>
    <row r="29" spans="2:6">
      <c r="B29" s="1"/>
      <c r="C29" s="1"/>
    </row>
    <row r="30" spans="2:6">
      <c r="B30" s="3"/>
      <c r="C30" s="3"/>
    </row>
    <row r="31" spans="2:6" ht="98" customHeight="1">
      <c r="B31" s="397" t="s">
        <v>40</v>
      </c>
      <c r="C31" s="397"/>
      <c r="D31" s="397"/>
      <c r="E31" s="397"/>
      <c r="F31" s="397"/>
    </row>
    <row r="32" spans="2:6">
      <c r="B32" s="2"/>
      <c r="C32" s="10"/>
      <c r="D32" s="2"/>
      <c r="E32" s="66"/>
      <c r="F32" s="66"/>
    </row>
    <row r="33" spans="2:6">
      <c r="B33" s="6" t="s">
        <v>4</v>
      </c>
      <c r="C33" s="6"/>
      <c r="D33" s="2"/>
      <c r="E33" s="66"/>
      <c r="F33" s="66"/>
    </row>
    <row r="34" spans="2:6">
      <c r="B34" s="3" t="s">
        <v>3</v>
      </c>
      <c r="C34" s="3"/>
    </row>
    <row r="35" spans="2:6">
      <c r="B35" s="3"/>
      <c r="C35" s="3"/>
    </row>
    <row r="36" spans="2:6">
      <c r="B36" s="1" t="s">
        <v>2</v>
      </c>
      <c r="C36" s="1"/>
    </row>
    <row r="37" spans="2:6">
      <c r="B37" s="3" t="s">
        <v>27</v>
      </c>
      <c r="C37" s="3"/>
    </row>
    <row r="38" spans="2:6">
      <c r="B38" s="3"/>
      <c r="C38" s="3"/>
    </row>
    <row r="40" spans="2:6">
      <c r="B40" s="1"/>
      <c r="C40" s="1"/>
    </row>
  </sheetData>
  <mergeCells count="7">
    <mergeCell ref="B2:F2"/>
    <mergeCell ref="B3:C3"/>
    <mergeCell ref="D3:F3"/>
    <mergeCell ref="B5:C5"/>
    <mergeCell ref="B31:F31"/>
    <mergeCell ref="B24:F24"/>
    <mergeCell ref="E5:F5"/>
  </mergeCells>
  <hyperlinks>
    <hyperlink ref="B34" r:id="rId1" xr:uid="{00000000-0004-0000-0500-000000000000}"/>
    <hyperlink ref="B37" r:id="rId2" xr:uid="{00000000-0004-0000-0500-000001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38"/>
  <sheetViews>
    <sheetView topLeftCell="A6" zoomScale="150" zoomScaleNormal="150" zoomScalePageLayoutView="150" workbookViewId="0">
      <selection activeCell="G21" sqref="G21"/>
    </sheetView>
  </sheetViews>
  <sheetFormatPr baseColWidth="10" defaultRowHeight="16"/>
  <cols>
    <col min="4" max="4" width="14" bestFit="1" customWidth="1"/>
    <col min="5" max="6" width="14" customWidth="1"/>
    <col min="7" max="7" width="13" customWidth="1"/>
  </cols>
  <sheetData>
    <row r="2" spans="2:7" ht="19">
      <c r="B2" s="391"/>
      <c r="C2" s="391"/>
      <c r="D2" s="391"/>
      <c r="E2" s="391"/>
      <c r="F2" s="391"/>
      <c r="G2" s="391"/>
    </row>
    <row r="3" spans="2:7" ht="17" thickBot="1">
      <c r="B3" s="30"/>
      <c r="C3" s="30"/>
      <c r="D3" s="30"/>
      <c r="E3" s="30"/>
      <c r="F3" s="30"/>
      <c r="G3" s="30"/>
    </row>
    <row r="4" spans="2:7" ht="20" customHeight="1" thickBot="1">
      <c r="B4" s="385"/>
      <c r="C4" s="386"/>
      <c r="D4" s="117"/>
      <c r="E4" s="387" t="s">
        <v>51</v>
      </c>
      <c r="F4" s="388"/>
      <c r="G4" s="118"/>
    </row>
    <row r="5" spans="2:7" ht="58" thickBot="1">
      <c r="B5" s="39" t="s">
        <v>9</v>
      </c>
      <c r="C5" s="40" t="s">
        <v>13</v>
      </c>
      <c r="D5" s="40" t="s">
        <v>11</v>
      </c>
      <c r="E5" s="122" t="s">
        <v>44</v>
      </c>
      <c r="F5" s="123" t="s">
        <v>45</v>
      </c>
      <c r="G5" s="40" t="s">
        <v>12</v>
      </c>
    </row>
    <row r="6" spans="2:7">
      <c r="B6" s="36">
        <v>2020</v>
      </c>
      <c r="C6" s="37"/>
      <c r="D6" s="38">
        <v>0</v>
      </c>
      <c r="E6" s="38"/>
      <c r="F6" s="38"/>
      <c r="G6" s="38">
        <v>0</v>
      </c>
    </row>
    <row r="7" spans="2:7">
      <c r="B7" s="35">
        <v>2021</v>
      </c>
      <c r="C7" s="27"/>
      <c r="D7" s="21">
        <v>0</v>
      </c>
      <c r="E7" s="21"/>
      <c r="F7" s="21"/>
      <c r="G7" s="21">
        <v>0</v>
      </c>
    </row>
    <row r="8" spans="2:7">
      <c r="B8" s="34">
        <v>2022</v>
      </c>
      <c r="C8" s="26"/>
      <c r="D8" s="19">
        <v>0</v>
      </c>
      <c r="E8" s="19"/>
      <c r="F8" s="19"/>
      <c r="G8" s="19">
        <v>0</v>
      </c>
    </row>
    <row r="9" spans="2:7">
      <c r="B9" s="35">
        <v>2023</v>
      </c>
      <c r="C9" s="27"/>
      <c r="D9" s="22">
        <v>0</v>
      </c>
      <c r="E9" s="22"/>
      <c r="F9" s="22"/>
      <c r="G9" s="22">
        <v>0</v>
      </c>
    </row>
    <row r="10" spans="2:7">
      <c r="B10" s="34">
        <v>2024</v>
      </c>
      <c r="C10" s="26"/>
      <c r="D10" s="23">
        <v>0</v>
      </c>
      <c r="E10" s="23"/>
      <c r="F10" s="23"/>
      <c r="G10" s="23">
        <v>0</v>
      </c>
    </row>
    <row r="11" spans="2:7">
      <c r="B11" s="35">
        <v>2025</v>
      </c>
      <c r="C11" s="27"/>
      <c r="D11" s="22">
        <v>0</v>
      </c>
      <c r="E11" s="22"/>
      <c r="F11" s="22"/>
      <c r="G11" s="22">
        <v>0</v>
      </c>
    </row>
    <row r="12" spans="2:7">
      <c r="B12" s="34">
        <v>2026</v>
      </c>
      <c r="C12" s="26"/>
      <c r="D12" s="23">
        <v>0</v>
      </c>
      <c r="E12" s="23"/>
      <c r="F12" s="23"/>
      <c r="G12" s="23">
        <v>0</v>
      </c>
    </row>
    <row r="13" spans="2:7">
      <c r="B13" s="35">
        <v>2027</v>
      </c>
      <c r="C13" s="27"/>
      <c r="D13" s="22">
        <v>0</v>
      </c>
      <c r="E13" s="22"/>
      <c r="F13" s="22"/>
      <c r="G13" s="22">
        <v>0</v>
      </c>
    </row>
    <row r="14" spans="2:7">
      <c r="B14" s="34">
        <v>2028</v>
      </c>
      <c r="C14" s="26">
        <v>1</v>
      </c>
      <c r="D14" s="14">
        <f t="shared" ref="D14:D15" si="0">55115*2000</f>
        <v>110230000</v>
      </c>
      <c r="E14" s="14"/>
      <c r="F14" s="14"/>
      <c r="G14" s="23">
        <v>0</v>
      </c>
    </row>
    <row r="15" spans="2:7">
      <c r="B15" s="132">
        <v>2029</v>
      </c>
      <c r="C15" s="133">
        <v>1</v>
      </c>
      <c r="D15" s="156">
        <f t="shared" si="0"/>
        <v>110230000</v>
      </c>
      <c r="E15" s="156"/>
      <c r="F15" s="156"/>
      <c r="G15" s="157">
        <v>0</v>
      </c>
    </row>
    <row r="16" spans="2:7">
      <c r="B16" s="141" t="s">
        <v>59</v>
      </c>
      <c r="C16" s="136">
        <v>1</v>
      </c>
      <c r="D16" s="130">
        <f>SUM(D6:D15)</f>
        <v>220460000</v>
      </c>
      <c r="E16" s="130"/>
      <c r="F16" s="130"/>
      <c r="G16" s="158">
        <f>SUM(G6:G15)</f>
        <v>0</v>
      </c>
    </row>
    <row r="17" spans="2:7" ht="17" thickBot="1">
      <c r="B17" s="144" t="s">
        <v>60</v>
      </c>
      <c r="C17" s="145"/>
      <c r="D17" s="146">
        <f>D15*20</f>
        <v>2204600000</v>
      </c>
      <c r="E17" s="146"/>
      <c r="F17" s="146"/>
      <c r="G17" s="159"/>
    </row>
    <row r="18" spans="2:7" ht="17" thickBot="1">
      <c r="B18" s="140" t="s">
        <v>56</v>
      </c>
      <c r="C18" s="150"/>
      <c r="D18" s="29">
        <f>D16+D17</f>
        <v>2425060000</v>
      </c>
      <c r="E18" s="29"/>
      <c r="F18" s="29"/>
      <c r="G18" s="160"/>
    </row>
    <row r="19" spans="2:7">
      <c r="B19" s="67"/>
      <c r="C19" s="67"/>
      <c r="D19" s="68"/>
      <c r="E19" s="68"/>
      <c r="F19" s="68"/>
      <c r="G19" s="155"/>
    </row>
    <row r="20" spans="2:7" ht="21">
      <c r="B20" s="62" t="s">
        <v>16</v>
      </c>
      <c r="C20" s="41"/>
      <c r="D20" s="41"/>
      <c r="E20" s="41"/>
      <c r="F20" s="41"/>
    </row>
    <row r="21" spans="2:7" ht="19">
      <c r="B21" s="31"/>
      <c r="C21" s="31"/>
      <c r="D21" s="31"/>
      <c r="E21" s="31"/>
      <c r="F21" s="31"/>
    </row>
    <row r="22" spans="2:7" ht="76" customHeight="1">
      <c r="B22" s="398" t="s">
        <v>43</v>
      </c>
      <c r="C22" s="398"/>
      <c r="D22" s="398"/>
      <c r="E22" s="398"/>
      <c r="F22" s="398"/>
      <c r="G22" s="398"/>
    </row>
    <row r="24" spans="2:7" ht="19">
      <c r="B24" s="33" t="s">
        <v>15</v>
      </c>
      <c r="C24" s="33"/>
      <c r="D24" s="33"/>
      <c r="E24" s="33"/>
      <c r="F24" s="33"/>
    </row>
    <row r="25" spans="2:7" ht="19">
      <c r="B25" s="33"/>
      <c r="C25" s="33"/>
      <c r="D25" s="33"/>
      <c r="E25" s="33"/>
      <c r="F25" s="33"/>
    </row>
    <row r="26" spans="2:7" ht="19">
      <c r="B26" s="1" t="s">
        <v>34</v>
      </c>
      <c r="C26" s="33"/>
      <c r="D26" s="33"/>
      <c r="E26" s="33"/>
      <c r="F26" s="33"/>
    </row>
    <row r="27" spans="2:7" ht="19">
      <c r="B27" s="61" t="s">
        <v>35</v>
      </c>
      <c r="C27" s="33"/>
      <c r="D27" s="33"/>
      <c r="E27" s="33"/>
      <c r="F27" s="33"/>
    </row>
    <row r="28" spans="2:7" ht="19">
      <c r="B28" s="33"/>
      <c r="C28" s="33"/>
      <c r="D28" s="33"/>
      <c r="E28" s="33"/>
      <c r="F28" s="33"/>
    </row>
    <row r="29" spans="2:7" ht="19">
      <c r="B29" s="1" t="s">
        <v>28</v>
      </c>
      <c r="C29" s="33"/>
      <c r="D29" s="33"/>
      <c r="E29" s="33"/>
      <c r="F29" s="33"/>
    </row>
    <row r="30" spans="2:7" ht="19">
      <c r="B30" s="61" t="s">
        <v>29</v>
      </c>
      <c r="C30" s="33"/>
      <c r="D30" s="33"/>
      <c r="E30" s="33"/>
      <c r="F30" s="33"/>
    </row>
    <row r="31" spans="2:7" ht="19">
      <c r="B31" s="61" t="s">
        <v>30</v>
      </c>
      <c r="C31" s="33"/>
      <c r="D31" s="33"/>
      <c r="E31" s="33"/>
      <c r="F31" s="33"/>
    </row>
    <row r="32" spans="2:7" ht="19">
      <c r="B32" s="61" t="s">
        <v>31</v>
      </c>
      <c r="C32" s="33"/>
      <c r="D32" s="33"/>
      <c r="E32" s="33"/>
      <c r="F32" s="33"/>
    </row>
    <row r="33" spans="2:7" ht="19">
      <c r="B33" s="61"/>
      <c r="C33" s="33"/>
      <c r="D33" s="33"/>
      <c r="E33" s="33"/>
      <c r="F33" s="33"/>
    </row>
    <row r="34" spans="2:7" ht="19">
      <c r="B34" s="1" t="s">
        <v>32</v>
      </c>
      <c r="C34" s="33"/>
      <c r="D34" s="33"/>
      <c r="E34" s="33"/>
      <c r="F34" s="33"/>
    </row>
    <row r="35" spans="2:7" ht="19">
      <c r="B35" s="61" t="s">
        <v>33</v>
      </c>
      <c r="C35" s="33"/>
      <c r="D35" s="33"/>
      <c r="E35" s="33"/>
      <c r="F35" s="33"/>
    </row>
    <row r="37" spans="2:7" ht="42" customHeight="1">
      <c r="B37" s="399" t="s">
        <v>17</v>
      </c>
      <c r="C37" s="399"/>
      <c r="D37" s="399"/>
      <c r="E37" s="399"/>
      <c r="F37" s="399"/>
      <c r="G37" s="399"/>
    </row>
    <row r="38" spans="2:7">
      <c r="B38" s="4" t="s">
        <v>0</v>
      </c>
    </row>
  </sheetData>
  <mergeCells count="5">
    <mergeCell ref="B22:G22"/>
    <mergeCell ref="B37:G37"/>
    <mergeCell ref="B2:G2"/>
    <mergeCell ref="B4:C4"/>
    <mergeCell ref="E4:F4"/>
  </mergeCells>
  <hyperlinks>
    <hyperlink ref="B38" r:id="rId1" xr:uid="{00000000-0004-0000-06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K54"/>
  <sheetViews>
    <sheetView topLeftCell="A2" zoomScale="125" zoomScaleNormal="125" zoomScalePageLayoutView="125" workbookViewId="0">
      <selection activeCell="B24" sqref="B24:J24"/>
    </sheetView>
  </sheetViews>
  <sheetFormatPr baseColWidth="10" defaultRowHeight="16"/>
  <cols>
    <col min="4" max="4" width="15.6640625" customWidth="1"/>
    <col min="5" max="5" width="13.1640625" customWidth="1"/>
    <col min="6" max="6" width="14.6640625" customWidth="1"/>
    <col min="7" max="7" width="16.5" customWidth="1"/>
    <col min="8" max="9" width="13.6640625" customWidth="1"/>
    <col min="10" max="10" width="14.33203125" customWidth="1"/>
  </cols>
  <sheetData>
    <row r="2" spans="2:10" ht="19">
      <c r="B2" s="391"/>
      <c r="C2" s="391"/>
      <c r="D2" s="391"/>
      <c r="E2" s="391"/>
      <c r="F2" s="391"/>
      <c r="G2" s="391"/>
    </row>
    <row r="3" spans="2:10" ht="59" customHeight="1">
      <c r="B3" s="375" t="s">
        <v>14</v>
      </c>
      <c r="C3" s="375"/>
      <c r="D3" s="376" t="s">
        <v>18</v>
      </c>
      <c r="E3" s="376"/>
      <c r="F3" s="376"/>
      <c r="G3" s="376"/>
    </row>
    <row r="4" spans="2:10" ht="17" thickBot="1">
      <c r="B4" s="30"/>
      <c r="C4" s="30"/>
      <c r="D4" s="30"/>
      <c r="E4" s="30"/>
      <c r="F4" s="30"/>
      <c r="G4" s="30"/>
    </row>
    <row r="5" spans="2:10" ht="20" customHeight="1" thickBot="1">
      <c r="B5" s="385"/>
      <c r="C5" s="386"/>
      <c r="D5" s="117"/>
      <c r="E5" s="387" t="s">
        <v>51</v>
      </c>
      <c r="F5" s="388"/>
      <c r="G5" s="118"/>
      <c r="H5" s="387" t="s">
        <v>51</v>
      </c>
      <c r="I5" s="400"/>
      <c r="J5" s="388"/>
    </row>
    <row r="6" spans="2:10" ht="71" thickBot="1">
      <c r="B6" s="39" t="s">
        <v>9</v>
      </c>
      <c r="C6" s="40" t="s">
        <v>13</v>
      </c>
      <c r="D6" s="40" t="s">
        <v>11</v>
      </c>
      <c r="E6" s="122" t="s">
        <v>146</v>
      </c>
      <c r="F6" s="123" t="s">
        <v>117</v>
      </c>
      <c r="G6" s="178" t="s">
        <v>12</v>
      </c>
      <c r="H6" s="122" t="s">
        <v>99</v>
      </c>
      <c r="I6" s="122" t="s">
        <v>146</v>
      </c>
      <c r="J6" s="123" t="s">
        <v>100</v>
      </c>
    </row>
    <row r="7" spans="2:10">
      <c r="B7" s="36">
        <v>2020</v>
      </c>
      <c r="C7" s="37">
        <v>0</v>
      </c>
      <c r="D7" s="51">
        <v>0</v>
      </c>
      <c r="E7" s="51"/>
      <c r="F7" s="51"/>
      <c r="G7" s="38">
        <v>0</v>
      </c>
      <c r="H7" s="162"/>
      <c r="I7" s="210"/>
      <c r="J7" s="161"/>
    </row>
    <row r="8" spans="2:10">
      <c r="B8" s="35">
        <v>2021</v>
      </c>
      <c r="C8" s="27">
        <v>0</v>
      </c>
      <c r="D8" s="52">
        <v>0</v>
      </c>
      <c r="E8" s="52"/>
      <c r="F8" s="52"/>
      <c r="G8" s="21">
        <v>0</v>
      </c>
      <c r="H8" s="115"/>
      <c r="I8" s="143"/>
      <c r="J8" s="153"/>
    </row>
    <row r="9" spans="2:10">
      <c r="B9" s="34">
        <v>2022</v>
      </c>
      <c r="C9" s="26">
        <v>0</v>
      </c>
      <c r="D9" s="53">
        <v>0</v>
      </c>
      <c r="E9" s="53"/>
      <c r="F9" s="53"/>
      <c r="G9" s="19">
        <v>0</v>
      </c>
      <c r="H9" s="115"/>
      <c r="I9" s="143"/>
      <c r="J9" s="153"/>
    </row>
    <row r="10" spans="2:10">
      <c r="B10" s="35">
        <v>2023</v>
      </c>
      <c r="C10" s="27">
        <v>0</v>
      </c>
      <c r="D10" s="54">
        <v>0</v>
      </c>
      <c r="E10" s="54"/>
      <c r="F10" s="54"/>
      <c r="G10" s="22">
        <v>0</v>
      </c>
      <c r="H10" s="115"/>
      <c r="I10" s="143"/>
      <c r="J10" s="153"/>
    </row>
    <row r="11" spans="2:10">
      <c r="B11" s="34">
        <v>2024</v>
      </c>
      <c r="C11" s="26">
        <v>0</v>
      </c>
      <c r="D11" s="55">
        <v>0</v>
      </c>
      <c r="E11" s="55"/>
      <c r="F11" s="55"/>
      <c r="G11" s="23">
        <v>0</v>
      </c>
      <c r="H11" s="115"/>
      <c r="I11" s="143"/>
      <c r="J11" s="153"/>
    </row>
    <row r="12" spans="2:10">
      <c r="B12" s="35">
        <v>2025</v>
      </c>
      <c r="C12" s="27">
        <v>0</v>
      </c>
      <c r="D12" s="54">
        <v>0</v>
      </c>
      <c r="E12" s="54"/>
      <c r="F12" s="54"/>
      <c r="G12" s="22">
        <v>0</v>
      </c>
      <c r="H12" s="115"/>
      <c r="I12" s="143"/>
      <c r="J12" s="153"/>
    </row>
    <row r="13" spans="2:10">
      <c r="B13" s="34">
        <v>2026</v>
      </c>
      <c r="C13" s="26">
        <v>0</v>
      </c>
      <c r="D13" s="55">
        <v>0</v>
      </c>
      <c r="E13" s="55"/>
      <c r="F13" s="55"/>
      <c r="G13" s="23">
        <v>0</v>
      </c>
      <c r="H13" s="115"/>
      <c r="I13" s="143"/>
      <c r="J13" s="153"/>
    </row>
    <row r="14" spans="2:10">
      <c r="B14" s="35">
        <v>2027</v>
      </c>
      <c r="C14" s="27">
        <v>0</v>
      </c>
      <c r="D14" s="54">
        <v>0</v>
      </c>
      <c r="E14" s="54"/>
      <c r="F14" s="54"/>
      <c r="G14" s="22">
        <v>0</v>
      </c>
      <c r="H14" s="115"/>
      <c r="I14" s="143"/>
      <c r="J14" s="153"/>
    </row>
    <row r="15" spans="2:10">
      <c r="B15" s="34">
        <v>2028</v>
      </c>
      <c r="C15" s="26">
        <v>0</v>
      </c>
      <c r="D15" s="56">
        <v>0</v>
      </c>
      <c r="E15" s="56"/>
      <c r="F15" s="56"/>
      <c r="G15" s="23">
        <v>0</v>
      </c>
      <c r="H15" s="115"/>
      <c r="I15" s="143"/>
      <c r="J15" s="153"/>
    </row>
    <row r="16" spans="2:10">
      <c r="B16" s="132">
        <v>2029</v>
      </c>
      <c r="C16" s="133">
        <v>1</v>
      </c>
      <c r="D16" s="50">
        <v>193848000</v>
      </c>
      <c r="E16" s="50"/>
      <c r="F16" s="50"/>
      <c r="G16" s="164">
        <v>22000000</v>
      </c>
      <c r="H16" s="115"/>
      <c r="I16" s="143"/>
      <c r="J16" s="153"/>
    </row>
    <row r="17" spans="2:11">
      <c r="B17" s="141" t="s">
        <v>59</v>
      </c>
      <c r="C17" s="136">
        <v>1</v>
      </c>
      <c r="D17" s="130">
        <f t="shared" ref="D17" si="0">SUM(D7:D16)</f>
        <v>193848000</v>
      </c>
      <c r="E17" s="130"/>
      <c r="F17" s="130"/>
      <c r="G17" s="165">
        <f>G16</f>
        <v>22000000</v>
      </c>
      <c r="H17" s="115"/>
      <c r="I17" s="143"/>
      <c r="J17" s="153"/>
    </row>
    <row r="18" spans="2:11" ht="17" thickBot="1">
      <c r="B18" s="144" t="s">
        <v>60</v>
      </c>
      <c r="C18" s="145"/>
      <c r="D18" s="146">
        <f>D16*20</f>
        <v>3876960000</v>
      </c>
      <c r="E18" s="146"/>
      <c r="F18" s="146"/>
      <c r="G18" s="166">
        <f>G16*20</f>
        <v>440000000</v>
      </c>
      <c r="H18" s="148"/>
      <c r="I18" s="149"/>
      <c r="J18" s="154"/>
    </row>
    <row r="19" spans="2:11" ht="17" thickBot="1">
      <c r="B19" s="140" t="s">
        <v>56</v>
      </c>
      <c r="C19" s="150"/>
      <c r="D19" s="29">
        <f>D17+D18</f>
        <v>4070808000</v>
      </c>
      <c r="E19" s="29">
        <f>D19*0.5*0.25/2000</f>
        <v>254425.5</v>
      </c>
      <c r="F19" s="29">
        <f>(E19/H46)*G45</f>
        <v>821132.85032109334</v>
      </c>
      <c r="G19" s="167">
        <f>G17+G18</f>
        <v>462000000</v>
      </c>
      <c r="H19" s="131">
        <f>G19*0.81</f>
        <v>374220000</v>
      </c>
      <c r="I19" s="211">
        <f>H19*C54/2000</f>
        <v>1237545.54</v>
      </c>
      <c r="J19" s="179">
        <f>(0.76*H19*B45)/2000</f>
        <v>3185360.64</v>
      </c>
    </row>
    <row r="20" spans="2:11">
      <c r="B20" s="67"/>
      <c r="C20" s="67"/>
      <c r="D20" s="68"/>
      <c r="E20" s="68"/>
      <c r="F20" s="68"/>
      <c r="G20" s="69"/>
    </row>
    <row r="21" spans="2:11">
      <c r="B21" s="67"/>
      <c r="C21" s="67"/>
      <c r="D21" s="68"/>
      <c r="E21" s="68"/>
      <c r="F21" s="68"/>
      <c r="G21" s="69"/>
    </row>
    <row r="22" spans="2:11" ht="19">
      <c r="B22" s="41" t="s">
        <v>16</v>
      </c>
      <c r="C22" s="41"/>
      <c r="D22" s="41"/>
      <c r="E22" s="41"/>
      <c r="F22" s="41"/>
    </row>
    <row r="23" spans="2:11" ht="10" customHeight="1">
      <c r="B23" s="31"/>
      <c r="C23" s="31"/>
      <c r="D23" s="31"/>
      <c r="E23" s="31"/>
      <c r="F23" s="31"/>
    </row>
    <row r="24" spans="2:11" ht="52" customHeight="1">
      <c r="B24" s="389" t="s">
        <v>108</v>
      </c>
      <c r="C24" s="389"/>
      <c r="D24" s="389"/>
      <c r="E24" s="389"/>
      <c r="F24" s="389"/>
      <c r="G24" s="389"/>
      <c r="H24" s="389"/>
      <c r="I24" s="389"/>
      <c r="J24" s="389"/>
    </row>
    <row r="26" spans="2:11" ht="19">
      <c r="B26" s="33" t="s">
        <v>15</v>
      </c>
      <c r="C26" s="33"/>
      <c r="D26" s="33"/>
      <c r="E26" s="33"/>
      <c r="F26" s="33"/>
    </row>
    <row r="27" spans="2:11" ht="10" customHeight="1">
      <c r="B27" s="33"/>
      <c r="C27" s="33"/>
      <c r="D27" s="33"/>
      <c r="E27" s="33"/>
      <c r="F27" s="33"/>
    </row>
    <row r="28" spans="2:11" ht="19">
      <c r="B28" s="15" t="s">
        <v>85</v>
      </c>
      <c r="C28" s="33"/>
      <c r="D28" s="33"/>
      <c r="E28" s="33"/>
      <c r="F28" s="33"/>
    </row>
    <row r="29" spans="2:11">
      <c r="B29" s="8" t="s">
        <v>84</v>
      </c>
      <c r="C29" s="8"/>
      <c r="D29" s="8"/>
      <c r="E29" s="8"/>
      <c r="F29" s="8"/>
      <c r="G29" s="8"/>
      <c r="H29" s="8"/>
      <c r="I29" s="8"/>
      <c r="J29" s="8"/>
      <c r="K29" s="8"/>
    </row>
    <row r="30" spans="2:11">
      <c r="B30" s="8"/>
      <c r="C30" s="8"/>
      <c r="D30" s="8"/>
      <c r="E30" s="8"/>
      <c r="F30" s="8"/>
      <c r="G30" s="8"/>
      <c r="H30" s="8"/>
      <c r="I30" s="8"/>
      <c r="J30" s="8"/>
      <c r="K30" s="8"/>
    </row>
    <row r="31" spans="2:11">
      <c r="B31" s="163" t="s">
        <v>97</v>
      </c>
      <c r="C31" s="163"/>
      <c r="D31" s="163"/>
      <c r="E31" s="163"/>
      <c r="F31" s="163"/>
      <c r="G31" s="163"/>
      <c r="H31" s="8"/>
      <c r="I31" s="8"/>
      <c r="J31" s="8"/>
      <c r="K31" s="8"/>
    </row>
    <row r="32" spans="2:11" ht="9" customHeight="1"/>
    <row r="33" spans="2:10">
      <c r="B33" t="s">
        <v>89</v>
      </c>
    </row>
    <row r="34" spans="2:10">
      <c r="B34" t="s">
        <v>86</v>
      </c>
    </row>
    <row r="35" spans="2:10">
      <c r="B35" t="s">
        <v>87</v>
      </c>
    </row>
    <row r="36" spans="2:10">
      <c r="B36" t="s">
        <v>98</v>
      </c>
    </row>
    <row r="39" spans="2:10">
      <c r="B39" s="15" t="s">
        <v>88</v>
      </c>
    </row>
    <row r="40" spans="2:10" ht="9" customHeight="1"/>
    <row r="41" spans="2:10">
      <c r="B41" s="177" t="s">
        <v>90</v>
      </c>
    </row>
    <row r="42" spans="2:10">
      <c r="B42" t="s">
        <v>91</v>
      </c>
    </row>
    <row r="44" spans="2:10" ht="18">
      <c r="B44" s="15" t="s">
        <v>96</v>
      </c>
      <c r="G44" s="15" t="s">
        <v>113</v>
      </c>
    </row>
    <row r="45" spans="2:10" ht="17" customHeight="1">
      <c r="B45">
        <v>22.4</v>
      </c>
      <c r="C45" s="116" t="s">
        <v>114</v>
      </c>
      <c r="G45">
        <v>19.600000000000001</v>
      </c>
      <c r="H45" t="s">
        <v>114</v>
      </c>
    </row>
    <row r="46" spans="2:10">
      <c r="B46" s="3" t="s">
        <v>95</v>
      </c>
      <c r="G46" s="116" t="s">
        <v>115</v>
      </c>
      <c r="H46" s="171">
        <v>6.0730000000000004</v>
      </c>
      <c r="I46" s="171"/>
      <c r="J46" t="s">
        <v>116</v>
      </c>
    </row>
    <row r="48" spans="2:10">
      <c r="B48" s="15" t="s">
        <v>109</v>
      </c>
    </row>
    <row r="49" spans="2:3" ht="10" customHeight="1"/>
    <row r="50" spans="2:3">
      <c r="B50" t="s">
        <v>110</v>
      </c>
    </row>
    <row r="51" spans="2:3">
      <c r="B51" t="s">
        <v>111</v>
      </c>
    </row>
    <row r="53" spans="2:3">
      <c r="B53" s="169" t="s">
        <v>77</v>
      </c>
      <c r="C53" s="170" t="s">
        <v>79</v>
      </c>
    </row>
    <row r="54" spans="2:3">
      <c r="B54" s="139" t="s">
        <v>80</v>
      </c>
      <c r="C54">
        <v>6.6139999999999999</v>
      </c>
    </row>
  </sheetData>
  <mergeCells count="7">
    <mergeCell ref="B24:J24"/>
    <mergeCell ref="B2:G2"/>
    <mergeCell ref="B3:C3"/>
    <mergeCell ref="D3:G3"/>
    <mergeCell ref="B5:C5"/>
    <mergeCell ref="H5:J5"/>
    <mergeCell ref="E5:F5"/>
  </mergeCells>
  <hyperlinks>
    <hyperlink ref="B46" r:id="rId1" xr:uid="{00000000-0004-0000-07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SUMMARY</vt:lpstr>
      <vt:lpstr>Mfgr 1</vt:lpstr>
      <vt:lpstr>Mfgr 2</vt:lpstr>
      <vt:lpstr>Mfgr 3</vt:lpstr>
      <vt:lpstr>Mfgr 4</vt:lpstr>
      <vt:lpstr>Mfgr 5</vt:lpstr>
      <vt:lpstr>Mfgr 6</vt:lpstr>
      <vt:lpstr>Mfgr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Marina Bowie</cp:lastModifiedBy>
  <dcterms:created xsi:type="dcterms:W3CDTF">2019-05-16T18:04:23Z</dcterms:created>
  <dcterms:modified xsi:type="dcterms:W3CDTF">2020-08-25T19:59:06Z</dcterms:modified>
</cp:coreProperties>
</file>